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pivotTables/pivotTable1.xml" ContentType="application/vnd.openxmlformats-officedocument.spreadsheetml.pivotTable+xml"/>
  <Override PartName="/xl/tables/table37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NEDJELJA\WEEBLY I TIMOVI\WEEBLY\"/>
    </mc:Choice>
  </mc:AlternateContent>
  <xr:revisionPtr revIDLastSave="0" documentId="8_{E0FCBF42-B774-40DB-A74A-64495E2CA2E4}" xr6:coauthVersionLast="47" xr6:coauthVersionMax="47" xr10:uidLastSave="{00000000-0000-0000-0000-000000000000}"/>
  <bookViews>
    <workbookView xWindow="-108" yWindow="-108" windowWidth="23256" windowHeight="12456" tabRatio="853" activeTab="25" xr2:uid="{00000000-000D-0000-FFFF-FFFF00000000}"/>
  </bookViews>
  <sheets>
    <sheet name="FLOOR 1 BATON CHILDREN" sheetId="96" r:id="rId1"/>
    <sheet name="FLOOR 1 BATON CADET-BEG" sheetId="97" r:id="rId2"/>
    <sheet name="FLOOR 1 BATON JUNIOR-BEG" sheetId="99" r:id="rId3"/>
    <sheet name="FLOOR 1 BATON CADET-INT" sheetId="98" r:id="rId4"/>
    <sheet name="FLOOR 1 BATON JUNIOR-ADV" sheetId="101" r:id="rId5"/>
    <sheet name="FLOOR 1 BATON JUNIOR-INT" sheetId="100" r:id="rId6"/>
    <sheet name="FLOOR 1 BATON SENIOR-INT" sheetId="102" r:id="rId7"/>
    <sheet name="FLOOR 1 BATON SENIOR-ADV" sheetId="103" r:id="rId8"/>
    <sheet name="FLOOR 2 BATONS JUNIOR-UPPER LVL" sheetId="107" r:id="rId9"/>
    <sheet name="FLOOR 2 BATONS SENIOR-LOWER LVL" sheetId="108" r:id="rId10"/>
    <sheet name="FLOOR 2 BATONS CADET-LOWER LVL" sheetId="105" r:id="rId11"/>
    <sheet name="FLOOR 2 BATONS JUNIOR-LOWER LVL" sheetId="106" r:id="rId12"/>
    <sheet name="SOLO DANCE-CHILDREN" sheetId="109" r:id="rId13"/>
    <sheet name="SOLO DANCE SENIOR-ADVANCED" sheetId="118" r:id="rId14"/>
    <sheet name="SOLO DANCE SENIOR-INTERMEDIATE" sheetId="117" r:id="rId15"/>
    <sheet name="SOLO DANCE CADET-BEGINNER" sheetId="110" r:id="rId16"/>
    <sheet name="SOLO DANCE CADET-INTERMEDIATE" sheetId="111" r:id="rId17"/>
    <sheet name="SOLO DANCE JUNIOR-PROFESSIONAL" sheetId="115" r:id="rId18"/>
    <sheet name="SOLO DANCE SENIOR-BEGINNER" sheetId="116" r:id="rId19"/>
    <sheet name="SOLO DANCE SENIOR-PROFESSIONAL" sheetId="119" r:id="rId20"/>
    <sheet name="SOLO DANCE JUNIOR-BEGINNER" sheetId="112" r:id="rId21"/>
    <sheet name="SOLO DANCE JUNIOR-INTERMEDIATE" sheetId="113" r:id="rId22"/>
    <sheet name="SOLO DANCE JUNIOR-ADVANCED" sheetId="114" r:id="rId23"/>
    <sheet name="DUET DANCE-CHILDREN" sheetId="120" r:id="rId24"/>
    <sheet name="DUET DANCE CADET-LOWER LVL" sheetId="121" r:id="rId25"/>
    <sheet name="DUET DANCE JUNIOR-LOWER LVL" sheetId="122" r:id="rId26"/>
    <sheet name="DUET DANCE JUNIOR-UPPER LVL" sheetId="123" r:id="rId27"/>
    <sheet name="DUET DANCE SENIOR-LOWER LVL" sheetId="124" r:id="rId28"/>
    <sheet name="TWIRLING TEAM-CHILDREN" sheetId="125" r:id="rId29"/>
    <sheet name="TWIRLING TEAM CADET-LOWER LVL" sheetId="126" r:id="rId30"/>
    <sheet name="TWIRLING TEAM CADET-UPPER LVL" sheetId="127" r:id="rId31"/>
    <sheet name="TWIRLING TEAM JUNIOR-LOWER LVL" sheetId="128" r:id="rId32"/>
    <sheet name="TWIRLING TEAM SENIOR-LOWER LVL" sheetId="129" r:id="rId33"/>
    <sheet name="TWIRLING GROUP-CHILDREN" sheetId="130" r:id="rId34"/>
    <sheet name="TWIRLING GROUP-CADET" sheetId="131" r:id="rId35"/>
    <sheet name="TWIRLING GROUP-SENIOR" sheetId="132" r:id="rId36"/>
    <sheet name="SUMARUM--&gt;" sheetId="135" state="hidden" r:id="rId37"/>
    <sheet name="PIVOT Query ALL" sheetId="134" state="hidden" r:id="rId38"/>
    <sheet name="Query ALL" sheetId="133" state="hidden" r:id="rId39"/>
  </sheets>
  <definedNames>
    <definedName name="_xlnm._FilterDatabase" localSheetId="24" hidden="1">'DUET DANCE CADET-LOWER LVL'!$A$1:$AI$12</definedName>
    <definedName name="_xlnm._FilterDatabase" localSheetId="25" hidden="1">'DUET DANCE JUNIOR-LOWER LVL'!$A$1:$AI$7</definedName>
    <definedName name="_xlnm._FilterDatabase" localSheetId="26" hidden="1">'DUET DANCE JUNIOR-UPPER LVL'!$A$1:$AI$5</definedName>
    <definedName name="_xlnm._FilterDatabase" localSheetId="27" hidden="1">'DUET DANCE SENIOR-LOWER LVL'!$A$1:$AI$4</definedName>
    <definedName name="_xlnm._FilterDatabase" localSheetId="23" hidden="1">'DUET DANCE-CHILDREN'!$A$1:$AI$7</definedName>
    <definedName name="_xlnm._FilterDatabase" localSheetId="1" hidden="1">'FLOOR 1 BATON CADET-BEG'!$A$1:$AI$6</definedName>
    <definedName name="_xlnm._FilterDatabase" localSheetId="3" hidden="1">'FLOOR 1 BATON CADET-INT'!$A$1:$AI$4</definedName>
    <definedName name="_xlnm._FilterDatabase" localSheetId="0" hidden="1">'FLOOR 1 BATON CHILDREN'!$A$1:$AI$4</definedName>
    <definedName name="_xlnm._FilterDatabase" localSheetId="4" hidden="1">'FLOOR 1 BATON JUNIOR-ADV'!$A$1:$AI$7</definedName>
    <definedName name="_xlnm._FilterDatabase" localSheetId="2" hidden="1">'FLOOR 1 BATON JUNIOR-BEG'!$A$1:$AI$3</definedName>
    <definedName name="_xlnm._FilterDatabase" localSheetId="5" hidden="1">'FLOOR 1 BATON JUNIOR-INT'!$A$1:$AI$11</definedName>
    <definedName name="_xlnm._FilterDatabase" localSheetId="7" hidden="1">'FLOOR 1 BATON SENIOR-ADV'!$A$1:$AI$5</definedName>
    <definedName name="_xlnm._FilterDatabase" localSheetId="6" hidden="1">'FLOOR 1 BATON SENIOR-INT'!$A$1:$AI$5</definedName>
    <definedName name="_xlnm._FilterDatabase" localSheetId="10" hidden="1">'FLOOR 2 BATONS CADET-LOWER LVL'!$A$1:$AI$2</definedName>
    <definedName name="_xlnm._FilterDatabase" localSheetId="11" hidden="1">'FLOOR 2 BATONS JUNIOR-LOWER LVL'!$A$1:$AI$5</definedName>
    <definedName name="_xlnm._FilterDatabase" localSheetId="8" hidden="1">'FLOOR 2 BATONS JUNIOR-UPPER LVL'!$A$1:$AI$4</definedName>
    <definedName name="_xlnm._FilterDatabase" localSheetId="9" hidden="1">'FLOOR 2 BATONS SENIOR-LOWER LVL'!$A$1:$AI$3</definedName>
    <definedName name="_xlnm._FilterDatabase" localSheetId="15" hidden="1">'SOLO DANCE CADET-BEGINNER'!$A$1:$AI$21</definedName>
    <definedName name="_xlnm._FilterDatabase" localSheetId="16" hidden="1">'SOLO DANCE CADET-INTERMEDIATE'!$A$1:$AI$9</definedName>
    <definedName name="_xlnm._FilterDatabase" localSheetId="22" hidden="1">'SOLO DANCE JUNIOR-ADVANCED'!$A$1:$AI$7</definedName>
    <definedName name="_xlnm._FilterDatabase" localSheetId="20" hidden="1">'SOLO DANCE JUNIOR-BEGINNER'!$A$1:$AI$8</definedName>
    <definedName name="_xlnm._FilterDatabase" localSheetId="21" hidden="1">'SOLO DANCE JUNIOR-INTERMEDIATE'!$A$1:$AI$19</definedName>
    <definedName name="_xlnm._FilterDatabase" localSheetId="17" hidden="1">'SOLO DANCE JUNIOR-PROFESSIONAL'!$A$1:$AI$2</definedName>
    <definedName name="_xlnm._FilterDatabase" localSheetId="13" hidden="1">'SOLO DANCE SENIOR-ADVANCED'!$A$1:$AI$7</definedName>
    <definedName name="_xlnm._FilterDatabase" localSheetId="18" hidden="1">'SOLO DANCE SENIOR-BEGINNER'!$A$1:$AI$3</definedName>
    <definedName name="_xlnm._FilterDatabase" localSheetId="14" hidden="1">'SOLO DANCE SENIOR-INTERMEDIATE'!$A$1:$AI$7</definedName>
    <definedName name="_xlnm._FilterDatabase" localSheetId="19" hidden="1">'SOLO DANCE SENIOR-PROFESSIONAL'!$A$1:$AI$3</definedName>
    <definedName name="_xlnm._FilterDatabase" localSheetId="12" hidden="1">'SOLO DANCE-CHILDREN'!$A$1:$AI$8</definedName>
    <definedName name="_xlnm._FilterDatabase" localSheetId="34" hidden="1">'TWIRLING GROUP-CADET'!$A$1:$AI$3</definedName>
    <definedName name="_xlnm._FilterDatabase" localSheetId="33" hidden="1">'TWIRLING GROUP-CHILDREN'!$A$1:$AI$3</definedName>
    <definedName name="_xlnm._FilterDatabase" localSheetId="35" hidden="1">'TWIRLING GROUP-SENIOR'!$A$1:$AI$2</definedName>
    <definedName name="_xlnm._FilterDatabase" localSheetId="29" hidden="1">'TWIRLING TEAM CADET-LOWER LVL'!$A$1:$AI$4</definedName>
    <definedName name="_xlnm._FilterDatabase" localSheetId="30" hidden="1">'TWIRLING TEAM CADET-UPPER LVL'!$A$1:$AI$2</definedName>
    <definedName name="_xlnm._FilterDatabase" localSheetId="31" hidden="1">'TWIRLING TEAM JUNIOR-LOWER LVL'!$A$1:$AI$5</definedName>
    <definedName name="_xlnm._FilterDatabase" localSheetId="32" hidden="1">'TWIRLING TEAM SENIOR-LOWER LVL'!$A$1:$AI$3</definedName>
    <definedName name="_xlnm._FilterDatabase" localSheetId="28" hidden="1">'TWIRLING TEAM-CHILDREN'!$A$1:$AI$2</definedName>
    <definedName name="ExternalData_1" localSheetId="38" hidden="1">'Query ALL'!$A$1:$AL$177</definedName>
    <definedName name="_xlnm.Extract" localSheetId="24">'DUET DANCE CADET-LOWER LVL'!$AJ$1:$BC$1</definedName>
    <definedName name="_xlnm.Extract" localSheetId="25">'DUET DANCE JUNIOR-LOWER LVL'!$AJ$1:$BC$1</definedName>
    <definedName name="_xlnm.Extract" localSheetId="26">'DUET DANCE JUNIOR-UPPER LVL'!$AJ$1:$BC$1</definedName>
    <definedName name="_xlnm.Extract" localSheetId="27">'DUET DANCE SENIOR-LOWER LVL'!$AJ$1:$BC$1</definedName>
    <definedName name="_xlnm.Extract" localSheetId="23">'DUET DANCE-CHILDREN'!$AJ$1:$BC$1</definedName>
    <definedName name="_xlnm.Extract" localSheetId="1">'FLOOR 1 BATON CADET-BEG'!$AJ$1:$BC$1</definedName>
    <definedName name="_xlnm.Extract" localSheetId="3">'FLOOR 1 BATON CADET-INT'!$AJ$1:$BC$1</definedName>
    <definedName name="_xlnm.Extract" localSheetId="0">'FLOOR 1 BATON CHILDREN'!$AJ$1:$BC$1</definedName>
    <definedName name="_xlnm.Extract" localSheetId="4">'FLOOR 1 BATON JUNIOR-ADV'!$AJ$1:$BC$1</definedName>
    <definedName name="_xlnm.Extract" localSheetId="2">'FLOOR 1 BATON JUNIOR-BEG'!$AJ$1:$BC$1</definedName>
    <definedName name="_xlnm.Extract" localSheetId="5">'FLOOR 1 BATON JUNIOR-INT'!$AJ$1:$BC$1</definedName>
    <definedName name="_xlnm.Extract" localSheetId="7">'FLOOR 1 BATON SENIOR-ADV'!$AJ$1:$BC$1</definedName>
    <definedName name="_xlnm.Extract" localSheetId="6">'FLOOR 1 BATON SENIOR-INT'!$AJ$1:$BC$1</definedName>
    <definedName name="_xlnm.Extract" localSheetId="10">'FLOOR 2 BATONS CADET-LOWER LVL'!$AJ$1:$BC$1</definedName>
    <definedName name="_xlnm.Extract" localSheetId="11">'FLOOR 2 BATONS JUNIOR-LOWER LVL'!$AJ$1:$BC$1</definedName>
    <definedName name="_xlnm.Extract" localSheetId="8">'FLOOR 2 BATONS JUNIOR-UPPER LVL'!$AJ$1:$BC$1</definedName>
    <definedName name="_xlnm.Extract" localSheetId="9">'FLOOR 2 BATONS SENIOR-LOWER LVL'!$AJ$1:$BC$1</definedName>
    <definedName name="_xlnm.Extract" localSheetId="15">'SOLO DANCE CADET-BEGINNER'!$AJ$1:$BC$1</definedName>
    <definedName name="_xlnm.Extract" localSheetId="16">'SOLO DANCE CADET-INTERMEDIATE'!$AJ$1:$BC$1</definedName>
    <definedName name="_xlnm.Extract" localSheetId="22">'SOLO DANCE JUNIOR-ADVANCED'!$AJ$1:$BC$1</definedName>
    <definedName name="_xlnm.Extract" localSheetId="20">'SOLO DANCE JUNIOR-BEGINNER'!$AJ$1:$BC$1</definedName>
    <definedName name="_xlnm.Extract" localSheetId="21">'SOLO DANCE JUNIOR-INTERMEDIATE'!$AJ$1:$BC$1</definedName>
    <definedName name="_xlnm.Extract" localSheetId="17">'SOLO DANCE JUNIOR-PROFESSIONAL'!$AJ$1:$BC$1</definedName>
    <definedName name="_xlnm.Extract" localSheetId="13">'SOLO DANCE SENIOR-ADVANCED'!$AJ$1:$BC$1</definedName>
    <definedName name="_xlnm.Extract" localSheetId="18">'SOLO DANCE SENIOR-BEGINNER'!$AJ$1:$BC$1</definedName>
    <definedName name="_xlnm.Extract" localSheetId="14">'SOLO DANCE SENIOR-INTERMEDIATE'!$AJ$1:$BC$1</definedName>
    <definedName name="_xlnm.Extract" localSheetId="19">'SOLO DANCE SENIOR-PROFESSIONAL'!$AJ$1:$BC$1</definedName>
    <definedName name="_xlnm.Extract" localSheetId="12">'SOLO DANCE-CHILDREN'!$AJ$1:$BC$1</definedName>
    <definedName name="_xlnm.Extract" localSheetId="34">'TWIRLING GROUP-CADET'!$AJ$1:$BC$1</definedName>
    <definedName name="_xlnm.Extract" localSheetId="33">'TWIRLING GROUP-CHILDREN'!$AJ$1:$BC$1</definedName>
    <definedName name="_xlnm.Extract" localSheetId="35">'TWIRLING GROUP-SENIOR'!$AJ$1:$BC$1</definedName>
    <definedName name="_xlnm.Extract" localSheetId="29">'TWIRLING TEAM CADET-LOWER LVL'!$AJ$1:$BC$1</definedName>
    <definedName name="_xlnm.Extract" localSheetId="30">'TWIRLING TEAM CADET-UPPER LVL'!$AJ$1:$BC$1</definedName>
    <definedName name="_xlnm.Extract" localSheetId="31">'TWIRLING TEAM JUNIOR-LOWER LVL'!$AJ$1:$BC$1</definedName>
    <definedName name="_xlnm.Extract" localSheetId="32">'TWIRLING TEAM SENIOR-LOWER LVL'!$AJ$1:$BC$1</definedName>
    <definedName name="_xlnm.Extract" localSheetId="28">'TWIRLING TEAM-CHILDREN'!$AJ$1:$BC$1</definedName>
  </definedNames>
  <calcPr calcId="191028"/>
  <pivotCaches>
    <pivotCache cacheId="7" r:id="rId4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" i="110" l="1"/>
  <c r="AI2" i="110"/>
  <c r="AI3" i="110"/>
  <c r="AI4" i="110"/>
  <c r="AI5" i="110"/>
  <c r="AI6" i="110"/>
  <c r="AI7" i="110"/>
  <c r="AI8" i="110"/>
  <c r="AI9" i="110"/>
  <c r="AI10" i="110"/>
  <c r="AI12" i="110"/>
  <c r="AI13" i="110"/>
  <c r="AI14" i="110"/>
  <c r="AI15" i="110"/>
  <c r="AI16" i="110"/>
  <c r="AI17" i="110"/>
  <c r="AI18" i="110"/>
  <c r="AI19" i="110"/>
  <c r="AI20" i="110"/>
  <c r="AI21" i="110"/>
  <c r="AD2" i="125"/>
  <c r="AD2" i="127"/>
  <c r="AD2" i="128"/>
  <c r="AD3" i="128"/>
  <c r="AD4" i="128"/>
  <c r="AD5" i="128"/>
  <c r="AD2" i="129"/>
  <c r="AD3" i="129"/>
  <c r="AD2" i="130"/>
  <c r="AD3" i="130"/>
  <c r="AD2" i="131"/>
  <c r="AD3" i="131"/>
  <c r="AD2" i="132"/>
  <c r="K15" i="113"/>
  <c r="K13" i="113"/>
  <c r="K14" i="113"/>
  <c r="K8" i="113"/>
  <c r="K2" i="113"/>
  <c r="K10" i="113"/>
  <c r="K19" i="113"/>
  <c r="K16" i="113"/>
  <c r="K11" i="113"/>
  <c r="K3" i="113"/>
  <c r="K6" i="113"/>
  <c r="K17" i="113"/>
  <c r="K5" i="113"/>
  <c r="K7" i="113"/>
  <c r="K4" i="113"/>
  <c r="K9" i="113"/>
  <c r="K18" i="113"/>
  <c r="K12" i="113"/>
  <c r="AA2" i="132"/>
  <c r="AB2" i="132" s="1"/>
  <c r="AA3" i="131"/>
  <c r="AB3" i="131" s="1"/>
  <c r="AA2" i="131"/>
  <c r="AB2" i="131" s="1"/>
  <c r="AA3" i="130"/>
  <c r="AA2" i="130"/>
  <c r="AA2" i="129"/>
  <c r="AB2" i="129" s="1"/>
  <c r="AA3" i="129"/>
  <c r="AB3" i="129" s="1"/>
  <c r="AA4" i="128"/>
  <c r="AA3" i="128"/>
  <c r="AB3" i="128" s="1"/>
  <c r="AA2" i="128"/>
  <c r="AA5" i="128"/>
  <c r="AA2" i="127"/>
  <c r="AA2" i="126"/>
  <c r="AA3" i="126"/>
  <c r="AA4" i="126"/>
  <c r="AB4" i="126" s="1"/>
  <c r="AA2" i="125"/>
  <c r="AB2" i="125" s="1"/>
  <c r="AA4" i="124"/>
  <c r="AB4" i="124" s="1"/>
  <c r="AA2" i="124"/>
  <c r="AA3" i="124"/>
  <c r="AA7" i="122"/>
  <c r="AA5" i="122"/>
  <c r="AB5" i="122" s="1"/>
  <c r="AA6" i="122"/>
  <c r="AB6" i="122" s="1"/>
  <c r="AA2" i="122"/>
  <c r="AA3" i="122"/>
  <c r="AA4" i="122"/>
  <c r="AA2" i="115"/>
  <c r="AA7" i="114"/>
  <c r="AA2" i="114"/>
  <c r="AA6" i="114"/>
  <c r="AA4" i="114"/>
  <c r="AA5" i="114"/>
  <c r="AA3" i="114"/>
  <c r="AA7" i="112"/>
  <c r="AA4" i="112"/>
  <c r="AB2" i="112" s="1"/>
  <c r="AA8" i="112"/>
  <c r="AA3" i="112"/>
  <c r="AA2" i="112"/>
  <c r="AA6" i="112"/>
  <c r="AA5" i="112"/>
  <c r="AA6" i="111"/>
  <c r="AA4" i="111"/>
  <c r="AA7" i="111"/>
  <c r="AA5" i="111"/>
  <c r="AA9" i="111"/>
  <c r="AA2" i="111"/>
  <c r="AA3" i="111"/>
  <c r="AA8" i="111"/>
  <c r="AA18" i="110"/>
  <c r="AA8" i="110"/>
  <c r="AA4" i="110"/>
  <c r="AA10" i="110"/>
  <c r="AA2" i="110"/>
  <c r="AA11" i="110"/>
  <c r="AA3" i="110"/>
  <c r="AA15" i="110"/>
  <c r="AA6" i="110"/>
  <c r="AA17" i="110"/>
  <c r="AA5" i="110"/>
  <c r="AA19" i="110"/>
  <c r="AA21" i="110"/>
  <c r="AA20" i="110"/>
  <c r="AA14" i="110"/>
  <c r="AA9" i="110"/>
  <c r="AA16" i="110"/>
  <c r="AA13" i="110"/>
  <c r="AA7" i="110"/>
  <c r="AA12" i="110"/>
  <c r="AA2" i="108"/>
  <c r="AB2" i="108" s="1"/>
  <c r="AA3" i="108"/>
  <c r="AB3" i="108" s="1"/>
  <c r="AA2" i="107"/>
  <c r="AB2" i="107" s="1"/>
  <c r="AA3" i="107"/>
  <c r="AA4" i="107"/>
  <c r="AA3" i="103"/>
  <c r="AB3" i="103" s="1"/>
  <c r="AA5" i="103"/>
  <c r="AA4" i="103"/>
  <c r="AB4" i="103" s="1"/>
  <c r="AA2" i="103"/>
  <c r="AA3" i="102"/>
  <c r="AA2" i="102"/>
  <c r="AA5" i="102"/>
  <c r="AA4" i="102"/>
  <c r="AA3" i="101"/>
  <c r="AB3" i="101" s="1"/>
  <c r="AA2" i="101"/>
  <c r="AA7" i="101"/>
  <c r="AA4" i="101"/>
  <c r="AA6" i="101"/>
  <c r="AA5" i="101"/>
  <c r="AA3" i="99"/>
  <c r="AA2" i="99"/>
  <c r="AA2" i="96"/>
  <c r="AB2" i="96" s="1"/>
  <c r="AA4" i="96"/>
  <c r="AA3" i="96"/>
  <c r="AB3" i="96" s="1"/>
  <c r="AA4" i="120"/>
  <c r="AA5" i="120"/>
  <c r="AA3" i="120"/>
  <c r="AA2" i="120"/>
  <c r="AA6" i="120"/>
  <c r="AA7" i="120"/>
  <c r="AG2" i="132"/>
  <c r="W2" i="132"/>
  <c r="X2" i="132" s="1"/>
  <c r="S2" i="132"/>
  <c r="T2" i="132" s="1"/>
  <c r="O2" i="132"/>
  <c r="K2" i="132"/>
  <c r="AG2" i="131"/>
  <c r="W2" i="131"/>
  <c r="X2" i="131" s="1"/>
  <c r="S2" i="131"/>
  <c r="O2" i="131"/>
  <c r="K2" i="131"/>
  <c r="AG3" i="131"/>
  <c r="W3" i="131"/>
  <c r="X3" i="131" s="1"/>
  <c r="S3" i="131"/>
  <c r="T3" i="131" s="1"/>
  <c r="O3" i="131"/>
  <c r="P2" i="131" s="1"/>
  <c r="K3" i="131"/>
  <c r="L3" i="131" s="1"/>
  <c r="K2" i="130"/>
  <c r="L2" i="130" s="1"/>
  <c r="O2" i="130"/>
  <c r="P3" i="130" s="1"/>
  <c r="S2" i="130"/>
  <c r="W2" i="130"/>
  <c r="AG2" i="130"/>
  <c r="AG3" i="130"/>
  <c r="AB2" i="130"/>
  <c r="W3" i="130"/>
  <c r="S3" i="130"/>
  <c r="T3" i="130" s="1"/>
  <c r="O3" i="130"/>
  <c r="K3" i="130"/>
  <c r="L3" i="130" s="1"/>
  <c r="AG3" i="129"/>
  <c r="W3" i="129"/>
  <c r="S3" i="129"/>
  <c r="O3" i="129"/>
  <c r="P3" i="129" s="1"/>
  <c r="K3" i="129"/>
  <c r="AG2" i="129"/>
  <c r="W2" i="129"/>
  <c r="X2" i="129" s="1"/>
  <c r="S2" i="129"/>
  <c r="O2" i="129"/>
  <c r="K2" i="129"/>
  <c r="L2" i="129" s="1"/>
  <c r="K3" i="128"/>
  <c r="K2" i="128"/>
  <c r="K5" i="128"/>
  <c r="O3" i="128"/>
  <c r="O2" i="128"/>
  <c r="O5" i="128"/>
  <c r="S3" i="128"/>
  <c r="S2" i="128"/>
  <c r="S5" i="128"/>
  <c r="W3" i="128"/>
  <c r="W2" i="128"/>
  <c r="W5" i="128"/>
  <c r="X5" i="128"/>
  <c r="AG3" i="128"/>
  <c r="AG2" i="128"/>
  <c r="AG5" i="128"/>
  <c r="AG4" i="128"/>
  <c r="W4" i="128"/>
  <c r="X4" i="128" s="1"/>
  <c r="S4" i="128"/>
  <c r="T4" i="128" s="1"/>
  <c r="O4" i="128"/>
  <c r="K4" i="128"/>
  <c r="AG2" i="127"/>
  <c r="AB2" i="127"/>
  <c r="W2" i="127"/>
  <c r="X2" i="127" s="1"/>
  <c r="S2" i="127"/>
  <c r="T2" i="127" s="1"/>
  <c r="O2" i="127"/>
  <c r="K2" i="127"/>
  <c r="L2" i="127" s="1"/>
  <c r="K3" i="126"/>
  <c r="AD3" i="126" s="1"/>
  <c r="K4" i="126"/>
  <c r="AD4" i="126" s="1"/>
  <c r="O3" i="126"/>
  <c r="O4" i="126"/>
  <c r="S3" i="126"/>
  <c r="S4" i="126"/>
  <c r="W3" i="126"/>
  <c r="W4" i="126"/>
  <c r="AG3" i="126"/>
  <c r="AG4" i="126"/>
  <c r="AG2" i="126"/>
  <c r="W2" i="126"/>
  <c r="X2" i="126" s="1"/>
  <c r="S2" i="126"/>
  <c r="O2" i="126"/>
  <c r="P3" i="126" s="1"/>
  <c r="K2" i="126"/>
  <c r="AG2" i="125"/>
  <c r="W2" i="125"/>
  <c r="X2" i="125" s="1"/>
  <c r="S2" i="125"/>
  <c r="T2" i="125" s="1"/>
  <c r="O2" i="125"/>
  <c r="P2" i="125" s="1"/>
  <c r="K2" i="125"/>
  <c r="AG3" i="124"/>
  <c r="W3" i="124"/>
  <c r="S3" i="124"/>
  <c r="O3" i="124"/>
  <c r="K3" i="124"/>
  <c r="AG2" i="124"/>
  <c r="W2" i="124"/>
  <c r="S2" i="124"/>
  <c r="O2" i="124"/>
  <c r="K2" i="124"/>
  <c r="AG4" i="124"/>
  <c r="W4" i="124"/>
  <c r="X4" i="124" s="1"/>
  <c r="S4" i="124"/>
  <c r="T4" i="124" s="1"/>
  <c r="O4" i="124"/>
  <c r="P4" i="124" s="1"/>
  <c r="K4" i="124"/>
  <c r="AG4" i="123"/>
  <c r="AA4" i="123"/>
  <c r="W4" i="123"/>
  <c r="S4" i="123"/>
  <c r="O4" i="123"/>
  <c r="K4" i="123"/>
  <c r="AG3" i="123"/>
  <c r="AA3" i="123"/>
  <c r="W3" i="123"/>
  <c r="S3" i="123"/>
  <c r="O3" i="123"/>
  <c r="P3" i="123" s="1"/>
  <c r="K3" i="123"/>
  <c r="AG2" i="123"/>
  <c r="AA2" i="123"/>
  <c r="W2" i="123"/>
  <c r="S2" i="123"/>
  <c r="O2" i="123"/>
  <c r="K2" i="123"/>
  <c r="AG5" i="123"/>
  <c r="AA5" i="123"/>
  <c r="W5" i="123"/>
  <c r="S5" i="123"/>
  <c r="T5" i="123" s="1"/>
  <c r="O5" i="123"/>
  <c r="K5" i="123"/>
  <c r="AG4" i="122"/>
  <c r="W4" i="122"/>
  <c r="S4" i="122"/>
  <c r="O4" i="122"/>
  <c r="K4" i="122"/>
  <c r="AG3" i="122"/>
  <c r="W3" i="122"/>
  <c r="X3" i="122" s="1"/>
  <c r="S3" i="122"/>
  <c r="O3" i="122"/>
  <c r="K3" i="122"/>
  <c r="AG2" i="122"/>
  <c r="W2" i="122"/>
  <c r="S2" i="122"/>
  <c r="O2" i="122"/>
  <c r="K2" i="122"/>
  <c r="AG6" i="122"/>
  <c r="W6" i="122"/>
  <c r="S6" i="122"/>
  <c r="O6" i="122"/>
  <c r="K6" i="122"/>
  <c r="L6" i="122" s="1"/>
  <c r="AG5" i="122"/>
  <c r="W5" i="122"/>
  <c r="X5" i="122" s="1"/>
  <c r="S5" i="122"/>
  <c r="O5" i="122"/>
  <c r="K5" i="122"/>
  <c r="AG7" i="122"/>
  <c r="W7" i="122"/>
  <c r="S7" i="122"/>
  <c r="O7" i="122"/>
  <c r="P7" i="122" s="1"/>
  <c r="K7" i="122"/>
  <c r="K4" i="121"/>
  <c r="O4" i="121"/>
  <c r="S4" i="121"/>
  <c r="W4" i="121"/>
  <c r="AA4" i="121"/>
  <c r="AB4" i="121" s="1"/>
  <c r="AG4" i="121"/>
  <c r="K2" i="121"/>
  <c r="O2" i="121"/>
  <c r="S2" i="121"/>
  <c r="W2" i="121"/>
  <c r="AA2" i="121"/>
  <c r="AG2" i="121"/>
  <c r="K3" i="121"/>
  <c r="O3" i="121"/>
  <c r="S3" i="121"/>
  <c r="W3" i="121"/>
  <c r="AA3" i="121"/>
  <c r="AG3" i="121"/>
  <c r="K5" i="121"/>
  <c r="O5" i="121"/>
  <c r="S5" i="121"/>
  <c r="W5" i="121"/>
  <c r="AA5" i="121"/>
  <c r="AG5" i="121"/>
  <c r="K10" i="121"/>
  <c r="O10" i="121"/>
  <c r="S10" i="121"/>
  <c r="W10" i="121"/>
  <c r="AA10" i="121"/>
  <c r="AG10" i="121"/>
  <c r="AG7" i="121"/>
  <c r="AA7" i="121"/>
  <c r="W7" i="121"/>
  <c r="S7" i="121"/>
  <c r="O7" i="121"/>
  <c r="K7" i="121"/>
  <c r="AG9" i="121"/>
  <c r="AA9" i="121"/>
  <c r="W9" i="121"/>
  <c r="S9" i="121"/>
  <c r="O9" i="121"/>
  <c r="K9" i="121"/>
  <c r="AG11" i="121"/>
  <c r="AA11" i="121"/>
  <c r="W11" i="121"/>
  <c r="S11" i="121"/>
  <c r="O11" i="121"/>
  <c r="K11" i="121"/>
  <c r="AG8" i="121"/>
  <c r="AA8" i="121"/>
  <c r="W8" i="121"/>
  <c r="S8" i="121"/>
  <c r="T4" i="121" s="1"/>
  <c r="O8" i="121"/>
  <c r="K8" i="121"/>
  <c r="AG6" i="121"/>
  <c r="AA6" i="121"/>
  <c r="W6" i="121"/>
  <c r="S6" i="121"/>
  <c r="O6" i="121"/>
  <c r="K6" i="121"/>
  <c r="AG12" i="121"/>
  <c r="AA12" i="121"/>
  <c r="AB2" i="121" s="1"/>
  <c r="W12" i="121"/>
  <c r="S12" i="121"/>
  <c r="O12" i="121"/>
  <c r="K12" i="121"/>
  <c r="K7" i="120"/>
  <c r="O7" i="120"/>
  <c r="S7" i="120"/>
  <c r="W7" i="120"/>
  <c r="X7" i="120"/>
  <c r="AG7" i="120"/>
  <c r="K6" i="120"/>
  <c r="L6" i="120" s="1"/>
  <c r="O6" i="120"/>
  <c r="S6" i="120"/>
  <c r="W6" i="120"/>
  <c r="AG6" i="120"/>
  <c r="K2" i="120"/>
  <c r="O2" i="120"/>
  <c r="S2" i="120"/>
  <c r="W2" i="120"/>
  <c r="AG2" i="120"/>
  <c r="K3" i="120"/>
  <c r="O3" i="120"/>
  <c r="S3" i="120"/>
  <c r="W3" i="120"/>
  <c r="AG3" i="120"/>
  <c r="AG5" i="120"/>
  <c r="W5" i="120"/>
  <c r="S5" i="120"/>
  <c r="O5" i="120"/>
  <c r="K5" i="120"/>
  <c r="AG4" i="120"/>
  <c r="W4" i="120"/>
  <c r="S4" i="120"/>
  <c r="O4" i="120"/>
  <c r="K4" i="120"/>
  <c r="L7" i="120" s="1"/>
  <c r="AG3" i="119"/>
  <c r="AA3" i="119"/>
  <c r="AB3" i="119" s="1"/>
  <c r="W3" i="119"/>
  <c r="S3" i="119"/>
  <c r="O3" i="119"/>
  <c r="AC3" i="119" s="1"/>
  <c r="AF3" i="119" s="1"/>
  <c r="AH3" i="119" s="1"/>
  <c r="K3" i="119"/>
  <c r="AG2" i="119"/>
  <c r="AB2" i="119"/>
  <c r="AA2" i="119"/>
  <c r="W2" i="119"/>
  <c r="X2" i="119" s="1"/>
  <c r="T2" i="119"/>
  <c r="S2" i="119"/>
  <c r="O2" i="119"/>
  <c r="K2" i="119"/>
  <c r="L2" i="119" s="1"/>
  <c r="AG4" i="118"/>
  <c r="AA4" i="118"/>
  <c r="W4" i="118"/>
  <c r="S4" i="118"/>
  <c r="O4" i="118"/>
  <c r="K4" i="118"/>
  <c r="AG6" i="118"/>
  <c r="AA6" i="118"/>
  <c r="W6" i="118"/>
  <c r="S6" i="118"/>
  <c r="O6" i="118"/>
  <c r="K6" i="118"/>
  <c r="AG3" i="118"/>
  <c r="AA3" i="118"/>
  <c r="AB3" i="118" s="1"/>
  <c r="W3" i="118"/>
  <c r="S3" i="118"/>
  <c r="O3" i="118"/>
  <c r="K3" i="118"/>
  <c r="AG7" i="118"/>
  <c r="AA7" i="118"/>
  <c r="W7" i="118"/>
  <c r="S7" i="118"/>
  <c r="O7" i="118"/>
  <c r="K7" i="118"/>
  <c r="AG5" i="118"/>
  <c r="AA5" i="118"/>
  <c r="AB2" i="118" s="1"/>
  <c r="W5" i="118"/>
  <c r="S5" i="118"/>
  <c r="T5" i="118" s="1"/>
  <c r="O5" i="118"/>
  <c r="P5" i="118" s="1"/>
  <c r="K5" i="118"/>
  <c r="AG2" i="118"/>
  <c r="AA2" i="118"/>
  <c r="W2" i="118"/>
  <c r="X4" i="118" s="1"/>
  <c r="S2" i="118"/>
  <c r="T2" i="118" s="1"/>
  <c r="O2" i="118"/>
  <c r="P2" i="118" s="1"/>
  <c r="K2" i="118"/>
  <c r="K4" i="117"/>
  <c r="O4" i="117"/>
  <c r="S4" i="117"/>
  <c r="W4" i="117"/>
  <c r="X4" i="117" s="1"/>
  <c r="AA4" i="117"/>
  <c r="AG4" i="117"/>
  <c r="K6" i="117"/>
  <c r="O6" i="117"/>
  <c r="S6" i="117"/>
  <c r="W6" i="117"/>
  <c r="AA6" i="117"/>
  <c r="AG6" i="117"/>
  <c r="K2" i="117"/>
  <c r="O2" i="117"/>
  <c r="S2" i="117"/>
  <c r="W2" i="117"/>
  <c r="AA2" i="117"/>
  <c r="AG2" i="117"/>
  <c r="K3" i="117"/>
  <c r="O3" i="117"/>
  <c r="S3" i="117"/>
  <c r="W3" i="117"/>
  <c r="AA3" i="117"/>
  <c r="AG3" i="117"/>
  <c r="AG7" i="117"/>
  <c r="AA7" i="117"/>
  <c r="W7" i="117"/>
  <c r="S7" i="117"/>
  <c r="O7" i="117"/>
  <c r="K7" i="117"/>
  <c r="AG5" i="117"/>
  <c r="AA5" i="117"/>
  <c r="W5" i="117"/>
  <c r="S5" i="117"/>
  <c r="T6" i="117" s="1"/>
  <c r="O5" i="117"/>
  <c r="P5" i="117" s="1"/>
  <c r="K5" i="117"/>
  <c r="AG2" i="116"/>
  <c r="AA2" i="116"/>
  <c r="W2" i="116"/>
  <c r="S2" i="116"/>
  <c r="T2" i="116" s="1"/>
  <c r="O2" i="116"/>
  <c r="K2" i="116"/>
  <c r="AG3" i="116"/>
  <c r="AA3" i="116"/>
  <c r="W3" i="116"/>
  <c r="S3" i="116"/>
  <c r="T3" i="116" s="1"/>
  <c r="O3" i="116"/>
  <c r="P3" i="116" s="1"/>
  <c r="K3" i="116"/>
  <c r="AG2" i="115"/>
  <c r="AB2" i="115"/>
  <c r="W2" i="115"/>
  <c r="X2" i="115" s="1"/>
  <c r="S2" i="115"/>
  <c r="T2" i="115" s="1"/>
  <c r="O2" i="115"/>
  <c r="P2" i="115" s="1"/>
  <c r="K2" i="115"/>
  <c r="L2" i="115" s="1"/>
  <c r="AG3" i="114"/>
  <c r="W3" i="114"/>
  <c r="S3" i="114"/>
  <c r="O3" i="114"/>
  <c r="K3" i="114"/>
  <c r="AG5" i="114"/>
  <c r="W5" i="114"/>
  <c r="S5" i="114"/>
  <c r="T5" i="114" s="1"/>
  <c r="O5" i="114"/>
  <c r="K5" i="114"/>
  <c r="AG4" i="114"/>
  <c r="W4" i="114"/>
  <c r="S4" i="114"/>
  <c r="O4" i="114"/>
  <c r="K4" i="114"/>
  <c r="AG6" i="114"/>
  <c r="W6" i="114"/>
  <c r="X6" i="114" s="1"/>
  <c r="S6" i="114"/>
  <c r="O6" i="114"/>
  <c r="K6" i="114"/>
  <c r="AG2" i="114"/>
  <c r="W2" i="114"/>
  <c r="S2" i="114"/>
  <c r="O2" i="114"/>
  <c r="K2" i="114"/>
  <c r="AG7" i="114"/>
  <c r="W7" i="114"/>
  <c r="S7" i="114"/>
  <c r="T7" i="114" s="1"/>
  <c r="O7" i="114"/>
  <c r="K7" i="114"/>
  <c r="O12" i="113"/>
  <c r="S12" i="113"/>
  <c r="T12" i="113" s="1"/>
  <c r="W12" i="113"/>
  <c r="AA12" i="113"/>
  <c r="AB12" i="113"/>
  <c r="AG12" i="113"/>
  <c r="O18" i="113"/>
  <c r="S18" i="113"/>
  <c r="W18" i="113"/>
  <c r="AA18" i="113"/>
  <c r="AG18" i="113"/>
  <c r="O9" i="113"/>
  <c r="S9" i="113"/>
  <c r="W9" i="113"/>
  <c r="AA9" i="113"/>
  <c r="AG9" i="113"/>
  <c r="O4" i="113"/>
  <c r="S4" i="113"/>
  <c r="W4" i="113"/>
  <c r="AA4" i="113"/>
  <c r="AG4" i="113"/>
  <c r="O7" i="113"/>
  <c r="S7" i="113"/>
  <c r="W7" i="113"/>
  <c r="AA7" i="113"/>
  <c r="AG7" i="113"/>
  <c r="O15" i="113"/>
  <c r="S15" i="113"/>
  <c r="W15" i="113"/>
  <c r="AA15" i="113"/>
  <c r="AG15" i="113"/>
  <c r="O5" i="113"/>
  <c r="S5" i="113"/>
  <c r="W5" i="113"/>
  <c r="AA5" i="113"/>
  <c r="AG5" i="113"/>
  <c r="O17" i="113"/>
  <c r="S17" i="113"/>
  <c r="W17" i="113"/>
  <c r="AA17" i="113"/>
  <c r="AG17" i="113"/>
  <c r="O6" i="113"/>
  <c r="S6" i="113"/>
  <c r="W6" i="113"/>
  <c r="AA6" i="113"/>
  <c r="AG6" i="113"/>
  <c r="O3" i="113"/>
  <c r="S3" i="113"/>
  <c r="W3" i="113"/>
  <c r="AA3" i="113"/>
  <c r="AG3" i="113"/>
  <c r="O11" i="113"/>
  <c r="S11" i="113"/>
  <c r="W11" i="113"/>
  <c r="AA11" i="113"/>
  <c r="AG11" i="113"/>
  <c r="AG16" i="113"/>
  <c r="AA16" i="113"/>
  <c r="W16" i="113"/>
  <c r="S16" i="113"/>
  <c r="O16" i="113"/>
  <c r="AG19" i="113"/>
  <c r="AA19" i="113"/>
  <c r="W19" i="113"/>
  <c r="S19" i="113"/>
  <c r="O19" i="113"/>
  <c r="AG10" i="113"/>
  <c r="AA10" i="113"/>
  <c r="W10" i="113"/>
  <c r="S10" i="113"/>
  <c r="O10" i="113"/>
  <c r="AG2" i="113"/>
  <c r="AA2" i="113"/>
  <c r="W2" i="113"/>
  <c r="S2" i="113"/>
  <c r="O2" i="113"/>
  <c r="AG8" i="113"/>
  <c r="AA8" i="113"/>
  <c r="W8" i="113"/>
  <c r="S8" i="113"/>
  <c r="O8" i="113"/>
  <c r="AG14" i="113"/>
  <c r="AA14" i="113"/>
  <c r="W14" i="113"/>
  <c r="S14" i="113"/>
  <c r="T18" i="113" s="1"/>
  <c r="O14" i="113"/>
  <c r="AG13" i="113"/>
  <c r="AA13" i="113"/>
  <c r="AB9" i="113" s="1"/>
  <c r="W13" i="113"/>
  <c r="X12" i="113" s="1"/>
  <c r="S13" i="113"/>
  <c r="O13" i="113"/>
  <c r="AG5" i="112"/>
  <c r="W5" i="112"/>
  <c r="S5" i="112"/>
  <c r="T5" i="112" s="1"/>
  <c r="O5" i="112"/>
  <c r="K5" i="112"/>
  <c r="AG6" i="112"/>
  <c r="W6" i="112"/>
  <c r="S6" i="112"/>
  <c r="O6" i="112"/>
  <c r="K6" i="112"/>
  <c r="AG2" i="112"/>
  <c r="W2" i="112"/>
  <c r="S2" i="112"/>
  <c r="O2" i="112"/>
  <c r="K2" i="112"/>
  <c r="AG3" i="112"/>
  <c r="W3" i="112"/>
  <c r="S3" i="112"/>
  <c r="O3" i="112"/>
  <c r="K3" i="112"/>
  <c r="AG8" i="112"/>
  <c r="W8" i="112"/>
  <c r="S8" i="112"/>
  <c r="O8" i="112"/>
  <c r="K8" i="112"/>
  <c r="AG4" i="112"/>
  <c r="W4" i="112"/>
  <c r="S4" i="112"/>
  <c r="O4" i="112"/>
  <c r="K4" i="112"/>
  <c r="AG7" i="112"/>
  <c r="W7" i="112"/>
  <c r="T7" i="112"/>
  <c r="S7" i="112"/>
  <c r="O7" i="112"/>
  <c r="K7" i="112"/>
  <c r="L5" i="112" s="1"/>
  <c r="AG8" i="111"/>
  <c r="W8" i="111"/>
  <c r="S8" i="111"/>
  <c r="O8" i="111"/>
  <c r="P8" i="111" s="1"/>
  <c r="K8" i="111"/>
  <c r="AG3" i="111"/>
  <c r="W3" i="111"/>
  <c r="S3" i="111"/>
  <c r="O3" i="111"/>
  <c r="P3" i="111" s="1"/>
  <c r="K3" i="111"/>
  <c r="AG2" i="111"/>
  <c r="AB2" i="111"/>
  <c r="W2" i="111"/>
  <c r="S2" i="111"/>
  <c r="O2" i="111"/>
  <c r="K2" i="111"/>
  <c r="L2" i="111" s="1"/>
  <c r="AG9" i="111"/>
  <c r="W9" i="111"/>
  <c r="S9" i="111"/>
  <c r="O9" i="111"/>
  <c r="K9" i="111"/>
  <c r="AG5" i="111"/>
  <c r="W5" i="111"/>
  <c r="S5" i="111"/>
  <c r="T5" i="111" s="1"/>
  <c r="O5" i="111"/>
  <c r="K5" i="111"/>
  <c r="AG7" i="111"/>
  <c r="W7" i="111"/>
  <c r="S7" i="111"/>
  <c r="O7" i="111"/>
  <c r="P7" i="111" s="1"/>
  <c r="K7" i="111"/>
  <c r="AG4" i="111"/>
  <c r="W4" i="111"/>
  <c r="S4" i="111"/>
  <c r="O4" i="111"/>
  <c r="K4" i="111"/>
  <c r="L4" i="111" s="1"/>
  <c r="AG6" i="111"/>
  <c r="W6" i="111"/>
  <c r="S6" i="111"/>
  <c r="O6" i="111"/>
  <c r="K6" i="111"/>
  <c r="K7" i="110"/>
  <c r="L7" i="110" s="1"/>
  <c r="K12" i="110"/>
  <c r="O7" i="110"/>
  <c r="O12" i="110"/>
  <c r="S7" i="110"/>
  <c r="T7" i="110" s="1"/>
  <c r="S12" i="110"/>
  <c r="W7" i="110"/>
  <c r="W12" i="110"/>
  <c r="AG7" i="110"/>
  <c r="AG12" i="110"/>
  <c r="K13" i="110"/>
  <c r="O13" i="110"/>
  <c r="S13" i="110"/>
  <c r="T13" i="110" s="1"/>
  <c r="W13" i="110"/>
  <c r="AG13" i="110"/>
  <c r="K16" i="110"/>
  <c r="O16" i="110"/>
  <c r="S16" i="110"/>
  <c r="W16" i="110"/>
  <c r="AG16" i="110"/>
  <c r="K9" i="110"/>
  <c r="O9" i="110"/>
  <c r="S9" i="110"/>
  <c r="W9" i="110"/>
  <c r="AG9" i="110"/>
  <c r="K14" i="110"/>
  <c r="O14" i="110"/>
  <c r="S14" i="110"/>
  <c r="W14" i="110"/>
  <c r="AG14" i="110"/>
  <c r="K20" i="110"/>
  <c r="O20" i="110"/>
  <c r="S20" i="110"/>
  <c r="W20" i="110"/>
  <c r="AG20" i="110"/>
  <c r="K21" i="110"/>
  <c r="O21" i="110"/>
  <c r="S21" i="110"/>
  <c r="W21" i="110"/>
  <c r="AG21" i="110"/>
  <c r="K19" i="110"/>
  <c r="O19" i="110"/>
  <c r="S19" i="110"/>
  <c r="W19" i="110"/>
  <c r="AG19" i="110"/>
  <c r="K5" i="110"/>
  <c r="O5" i="110"/>
  <c r="S5" i="110"/>
  <c r="W5" i="110"/>
  <c r="AG5" i="110"/>
  <c r="K17" i="110"/>
  <c r="O17" i="110"/>
  <c r="S17" i="110"/>
  <c r="W17" i="110"/>
  <c r="AG17" i="110"/>
  <c r="K6" i="110"/>
  <c r="O6" i="110"/>
  <c r="S6" i="110"/>
  <c r="W6" i="110"/>
  <c r="AG6" i="110"/>
  <c r="K15" i="110"/>
  <c r="O15" i="110"/>
  <c r="S15" i="110"/>
  <c r="W15" i="110"/>
  <c r="AG15" i="110"/>
  <c r="AG3" i="110"/>
  <c r="W3" i="110"/>
  <c r="S3" i="110"/>
  <c r="O3" i="110"/>
  <c r="K3" i="110"/>
  <c r="AG11" i="110"/>
  <c r="W11" i="110"/>
  <c r="S11" i="110"/>
  <c r="O11" i="110"/>
  <c r="K11" i="110"/>
  <c r="AG2" i="110"/>
  <c r="W2" i="110"/>
  <c r="S2" i="110"/>
  <c r="O2" i="110"/>
  <c r="K2" i="110"/>
  <c r="AG10" i="110"/>
  <c r="W10" i="110"/>
  <c r="S10" i="110"/>
  <c r="O10" i="110"/>
  <c r="K10" i="110"/>
  <c r="AG4" i="110"/>
  <c r="W4" i="110"/>
  <c r="S4" i="110"/>
  <c r="T12" i="110" s="1"/>
  <c r="O4" i="110"/>
  <c r="P12" i="110" s="1"/>
  <c r="K4" i="110"/>
  <c r="AG8" i="110"/>
  <c r="W8" i="110"/>
  <c r="S8" i="110"/>
  <c r="O8" i="110"/>
  <c r="K8" i="110"/>
  <c r="L12" i="110" s="1"/>
  <c r="AG18" i="110"/>
  <c r="W18" i="110"/>
  <c r="S18" i="110"/>
  <c r="O18" i="110"/>
  <c r="P7" i="110" s="1"/>
  <c r="K18" i="110"/>
  <c r="K4" i="109"/>
  <c r="L4" i="109" s="1"/>
  <c r="O4" i="109"/>
  <c r="S4" i="109"/>
  <c r="W4" i="109"/>
  <c r="AA4" i="109"/>
  <c r="AB4" i="109" s="1"/>
  <c r="AG4" i="109"/>
  <c r="K8" i="109"/>
  <c r="L8" i="109" s="1"/>
  <c r="O8" i="109"/>
  <c r="S8" i="109"/>
  <c r="W8" i="109"/>
  <c r="AA8" i="109"/>
  <c r="AB8" i="109" s="1"/>
  <c r="AG8" i="109"/>
  <c r="K3" i="109"/>
  <c r="L3" i="109" s="1"/>
  <c r="O3" i="109"/>
  <c r="S3" i="109"/>
  <c r="W3" i="109"/>
  <c r="AA3" i="109"/>
  <c r="AB3" i="109" s="1"/>
  <c r="AG3" i="109"/>
  <c r="K5" i="109"/>
  <c r="O5" i="109"/>
  <c r="S5" i="109"/>
  <c r="W5" i="109"/>
  <c r="X5" i="109" s="1"/>
  <c r="AA5" i="109"/>
  <c r="AG5" i="109"/>
  <c r="K7" i="109"/>
  <c r="L7" i="109" s="1"/>
  <c r="O7" i="109"/>
  <c r="P7" i="109" s="1"/>
  <c r="S7" i="109"/>
  <c r="W7" i="109"/>
  <c r="X7" i="109" s="1"/>
  <c r="AA7" i="109"/>
  <c r="AB7" i="109" s="1"/>
  <c r="AG7" i="109"/>
  <c r="AG2" i="109"/>
  <c r="AA2" i="109"/>
  <c r="W2" i="109"/>
  <c r="X2" i="109" s="1"/>
  <c r="S2" i="109"/>
  <c r="T2" i="109" s="1"/>
  <c r="O2" i="109"/>
  <c r="P2" i="109" s="1"/>
  <c r="K2" i="109"/>
  <c r="AG6" i="109"/>
  <c r="AA6" i="109"/>
  <c r="W6" i="109"/>
  <c r="S6" i="109"/>
  <c r="O6" i="109"/>
  <c r="P6" i="109" s="1"/>
  <c r="K6" i="109"/>
  <c r="AG3" i="108"/>
  <c r="W3" i="108"/>
  <c r="X3" i="108" s="1"/>
  <c r="S3" i="108"/>
  <c r="O3" i="108"/>
  <c r="K3" i="108"/>
  <c r="AG2" i="108"/>
  <c r="W2" i="108"/>
  <c r="X2" i="108" s="1"/>
  <c r="S2" i="108"/>
  <c r="T2" i="108" s="1"/>
  <c r="O2" i="108"/>
  <c r="P2" i="108" s="1"/>
  <c r="K2" i="108"/>
  <c r="L2" i="108" s="1"/>
  <c r="AG4" i="107"/>
  <c r="W4" i="107"/>
  <c r="X4" i="107" s="1"/>
  <c r="S4" i="107"/>
  <c r="O4" i="107"/>
  <c r="P4" i="107" s="1"/>
  <c r="K4" i="107"/>
  <c r="AG3" i="107"/>
  <c r="W3" i="107"/>
  <c r="X3" i="107" s="1"/>
  <c r="S3" i="107"/>
  <c r="T3" i="107" s="1"/>
  <c r="O3" i="107"/>
  <c r="P3" i="107" s="1"/>
  <c r="K3" i="107"/>
  <c r="AG2" i="107"/>
  <c r="W2" i="107"/>
  <c r="S2" i="107"/>
  <c r="O2" i="107"/>
  <c r="P2" i="107" s="1"/>
  <c r="K2" i="107"/>
  <c r="L2" i="107" s="1"/>
  <c r="K3" i="106"/>
  <c r="L3" i="106" s="1"/>
  <c r="O3" i="106"/>
  <c r="P3" i="106" s="1"/>
  <c r="S3" i="106"/>
  <c r="W3" i="106"/>
  <c r="X3" i="106" s="1"/>
  <c r="AA3" i="106"/>
  <c r="AB3" i="106" s="1"/>
  <c r="AG3" i="106"/>
  <c r="K5" i="106"/>
  <c r="L5" i="106" s="1"/>
  <c r="O5" i="106"/>
  <c r="S5" i="106"/>
  <c r="T5" i="106" s="1"/>
  <c r="W5" i="106"/>
  <c r="X5" i="106" s="1"/>
  <c r="AA5" i="106"/>
  <c r="AB5" i="106" s="1"/>
  <c r="AG5" i="106"/>
  <c r="K4" i="106"/>
  <c r="L4" i="106" s="1"/>
  <c r="O4" i="106"/>
  <c r="P4" i="106" s="1"/>
  <c r="S4" i="106"/>
  <c r="W4" i="106"/>
  <c r="X4" i="106" s="1"/>
  <c r="AA4" i="106"/>
  <c r="AB4" i="106" s="1"/>
  <c r="AG4" i="106"/>
  <c r="AG2" i="106"/>
  <c r="AA2" i="106"/>
  <c r="AB2" i="106" s="1"/>
  <c r="W2" i="106"/>
  <c r="X2" i="106" s="1"/>
  <c r="S2" i="106"/>
  <c r="T2" i="106" s="1"/>
  <c r="O2" i="106"/>
  <c r="P2" i="106" s="1"/>
  <c r="K2" i="106"/>
  <c r="AG2" i="105"/>
  <c r="AA2" i="105"/>
  <c r="W2" i="105"/>
  <c r="S2" i="105"/>
  <c r="T2" i="105" s="1"/>
  <c r="O2" i="105"/>
  <c r="P2" i="105" s="1"/>
  <c r="K2" i="105"/>
  <c r="AG2" i="103"/>
  <c r="W2" i="103"/>
  <c r="X2" i="103" s="1"/>
  <c r="S2" i="103"/>
  <c r="T2" i="103" s="1"/>
  <c r="O2" i="103"/>
  <c r="K2" i="103"/>
  <c r="AG4" i="103"/>
  <c r="W4" i="103"/>
  <c r="X4" i="103" s="1"/>
  <c r="S4" i="103"/>
  <c r="T4" i="103" s="1"/>
  <c r="O4" i="103"/>
  <c r="P4" i="103" s="1"/>
  <c r="K4" i="103"/>
  <c r="AG5" i="103"/>
  <c r="W5" i="103"/>
  <c r="X5" i="103" s="1"/>
  <c r="S5" i="103"/>
  <c r="T5" i="103" s="1"/>
  <c r="O5" i="103"/>
  <c r="P5" i="103" s="1"/>
  <c r="K5" i="103"/>
  <c r="L5" i="103" s="1"/>
  <c r="AG3" i="103"/>
  <c r="W3" i="103"/>
  <c r="X3" i="103" s="1"/>
  <c r="S3" i="103"/>
  <c r="T3" i="103" s="1"/>
  <c r="O3" i="103"/>
  <c r="P3" i="103" s="1"/>
  <c r="K3" i="103"/>
  <c r="L3" i="103" s="1"/>
  <c r="AG4" i="102"/>
  <c r="W4" i="102"/>
  <c r="X4" i="102" s="1"/>
  <c r="S4" i="102"/>
  <c r="T4" i="102" s="1"/>
  <c r="O4" i="102"/>
  <c r="K4" i="102"/>
  <c r="L4" i="102" s="1"/>
  <c r="AG5" i="102"/>
  <c r="AB5" i="102"/>
  <c r="W5" i="102"/>
  <c r="X5" i="102" s="1"/>
  <c r="S5" i="102"/>
  <c r="O5" i="102"/>
  <c r="P5" i="102" s="1"/>
  <c r="K5" i="102"/>
  <c r="AG2" i="102"/>
  <c r="W2" i="102"/>
  <c r="X2" i="102" s="1"/>
  <c r="S2" i="102"/>
  <c r="T2" i="102" s="1"/>
  <c r="O2" i="102"/>
  <c r="P2" i="102" s="1"/>
  <c r="K2" i="102"/>
  <c r="AG3" i="102"/>
  <c r="AB3" i="102"/>
  <c r="W3" i="102"/>
  <c r="S3" i="102"/>
  <c r="O3" i="102"/>
  <c r="K3" i="102"/>
  <c r="L3" i="102" s="1"/>
  <c r="K5" i="101"/>
  <c r="O5" i="101"/>
  <c r="P5" i="101" s="1"/>
  <c r="S5" i="101"/>
  <c r="W5" i="101"/>
  <c r="AB5" i="101"/>
  <c r="AG5" i="101"/>
  <c r="K6" i="101"/>
  <c r="O6" i="101"/>
  <c r="S6" i="101"/>
  <c r="W6" i="101"/>
  <c r="AB6" i="101"/>
  <c r="AG6" i="101"/>
  <c r="K4" i="101"/>
  <c r="O4" i="101"/>
  <c r="S4" i="101"/>
  <c r="W4" i="101"/>
  <c r="AB4" i="101"/>
  <c r="AG4" i="101"/>
  <c r="K7" i="101"/>
  <c r="O7" i="101"/>
  <c r="S7" i="101"/>
  <c r="W7" i="101"/>
  <c r="AB7" i="101"/>
  <c r="AG7" i="101"/>
  <c r="AG2" i="101"/>
  <c r="W2" i="101"/>
  <c r="S2" i="101"/>
  <c r="O2" i="101"/>
  <c r="K2" i="101"/>
  <c r="L2" i="101" s="1"/>
  <c r="AG3" i="101"/>
  <c r="W3" i="101"/>
  <c r="S3" i="101"/>
  <c r="O3" i="101"/>
  <c r="P3" i="101" s="1"/>
  <c r="K3" i="101"/>
  <c r="K11" i="100"/>
  <c r="L11" i="100" s="1"/>
  <c r="O11" i="100"/>
  <c r="S11" i="100"/>
  <c r="W11" i="100"/>
  <c r="AA11" i="100"/>
  <c r="AB11" i="100" s="1"/>
  <c r="AG11" i="100"/>
  <c r="K4" i="100"/>
  <c r="O4" i="100"/>
  <c r="S4" i="100"/>
  <c r="W4" i="100"/>
  <c r="AA4" i="100"/>
  <c r="AG4" i="100"/>
  <c r="K10" i="100"/>
  <c r="O10" i="100"/>
  <c r="S10" i="100"/>
  <c r="W10" i="100"/>
  <c r="X10" i="100"/>
  <c r="AA10" i="100"/>
  <c r="AG10" i="100"/>
  <c r="K5" i="100"/>
  <c r="O5" i="100"/>
  <c r="S5" i="100"/>
  <c r="T5" i="100" s="1"/>
  <c r="W5" i="100"/>
  <c r="AA5" i="100"/>
  <c r="AB5" i="100" s="1"/>
  <c r="AG5" i="100"/>
  <c r="K7" i="100"/>
  <c r="O7" i="100"/>
  <c r="S7" i="100"/>
  <c r="W7" i="100"/>
  <c r="X7" i="100" s="1"/>
  <c r="AA7" i="100"/>
  <c r="AB7" i="100" s="1"/>
  <c r="AG7" i="100"/>
  <c r="K3" i="100"/>
  <c r="O3" i="100"/>
  <c r="S3" i="100"/>
  <c r="T3" i="100" s="1"/>
  <c r="W3" i="100"/>
  <c r="X3" i="100" s="1"/>
  <c r="AA3" i="100"/>
  <c r="AB3" i="100" s="1"/>
  <c r="AG3" i="100"/>
  <c r="K9" i="100"/>
  <c r="O9" i="100"/>
  <c r="P9" i="100" s="1"/>
  <c r="S9" i="100"/>
  <c r="W9" i="100"/>
  <c r="X9" i="100" s="1"/>
  <c r="AA9" i="100"/>
  <c r="AB9" i="100" s="1"/>
  <c r="AG9" i="100"/>
  <c r="AG2" i="100"/>
  <c r="AA2" i="100"/>
  <c r="W2" i="100"/>
  <c r="X4" i="100" s="1"/>
  <c r="S2" i="100"/>
  <c r="T10" i="100" s="1"/>
  <c r="O2" i="100"/>
  <c r="K2" i="100"/>
  <c r="AG6" i="100"/>
  <c r="AA6" i="100"/>
  <c r="W6" i="100"/>
  <c r="S6" i="100"/>
  <c r="O6" i="100"/>
  <c r="P4" i="100" s="1"/>
  <c r="K6" i="100"/>
  <c r="AG8" i="100"/>
  <c r="AA8" i="100"/>
  <c r="W8" i="100"/>
  <c r="S8" i="100"/>
  <c r="O8" i="100"/>
  <c r="K8" i="100"/>
  <c r="AG2" i="99"/>
  <c r="AB2" i="99"/>
  <c r="W2" i="99"/>
  <c r="S2" i="99"/>
  <c r="T2" i="99" s="1"/>
  <c r="O2" i="99"/>
  <c r="P2" i="99" s="1"/>
  <c r="K2" i="99"/>
  <c r="L2" i="99" s="1"/>
  <c r="AG3" i="99"/>
  <c r="AB3" i="99"/>
  <c r="W3" i="99"/>
  <c r="X3" i="99" s="1"/>
  <c r="S3" i="99"/>
  <c r="T3" i="99" s="1"/>
  <c r="O3" i="99"/>
  <c r="P3" i="99" s="1"/>
  <c r="K3" i="99"/>
  <c r="AG4" i="98"/>
  <c r="AA4" i="98"/>
  <c r="AB4" i="98" s="1"/>
  <c r="W4" i="98"/>
  <c r="S4" i="98"/>
  <c r="T4" i="98" s="1"/>
  <c r="O4" i="98"/>
  <c r="K4" i="98"/>
  <c r="AG2" i="98"/>
  <c r="AA2" i="98"/>
  <c r="AB2" i="98" s="1"/>
  <c r="W2" i="98"/>
  <c r="X2" i="98" s="1"/>
  <c r="S2" i="98"/>
  <c r="O2" i="98"/>
  <c r="K2" i="98"/>
  <c r="L2" i="98" s="1"/>
  <c r="AG3" i="98"/>
  <c r="AA3" i="98"/>
  <c r="AB3" i="98" s="1"/>
  <c r="W3" i="98"/>
  <c r="S3" i="98"/>
  <c r="T3" i="98" s="1"/>
  <c r="O3" i="98"/>
  <c r="P3" i="98" s="1"/>
  <c r="K3" i="98"/>
  <c r="K3" i="97"/>
  <c r="O3" i="97"/>
  <c r="S3" i="97"/>
  <c r="W3" i="97"/>
  <c r="X3" i="97" s="1"/>
  <c r="AA3" i="97"/>
  <c r="AG3" i="97"/>
  <c r="K6" i="97"/>
  <c r="O6" i="97"/>
  <c r="S6" i="97"/>
  <c r="W6" i="97"/>
  <c r="X6" i="97"/>
  <c r="AA6" i="97"/>
  <c r="AB6" i="97" s="1"/>
  <c r="AG6" i="97"/>
  <c r="AG5" i="97"/>
  <c r="AA5" i="97"/>
  <c r="W5" i="97"/>
  <c r="S5" i="97"/>
  <c r="O5" i="97"/>
  <c r="K5" i="97"/>
  <c r="AG4" i="97"/>
  <c r="AA4" i="97"/>
  <c r="W4" i="97"/>
  <c r="S4" i="97"/>
  <c r="O4" i="97"/>
  <c r="P4" i="97" s="1"/>
  <c r="K4" i="97"/>
  <c r="AG2" i="97"/>
  <c r="AA2" i="97"/>
  <c r="AB2" i="97" s="1"/>
  <c r="W2" i="97"/>
  <c r="S2" i="97"/>
  <c r="O2" i="97"/>
  <c r="K2" i="97"/>
  <c r="AG3" i="96"/>
  <c r="W3" i="96"/>
  <c r="T3" i="96"/>
  <c r="S3" i="96"/>
  <c r="O3" i="96"/>
  <c r="P3" i="96" s="1"/>
  <c r="K3" i="96"/>
  <c r="L3" i="96" s="1"/>
  <c r="AG4" i="96"/>
  <c r="W4" i="96"/>
  <c r="X4" i="96" s="1"/>
  <c r="S4" i="96"/>
  <c r="T4" i="96" s="1"/>
  <c r="O4" i="96"/>
  <c r="P4" i="96" s="1"/>
  <c r="K4" i="96"/>
  <c r="AG2" i="96"/>
  <c r="W2" i="96"/>
  <c r="X2" i="96" s="1"/>
  <c r="S2" i="96"/>
  <c r="T2" i="96" s="1"/>
  <c r="O2" i="96"/>
  <c r="P2" i="96" s="1"/>
  <c r="K2" i="96"/>
  <c r="X4" i="126" l="1"/>
  <c r="AD2" i="126"/>
  <c r="X4" i="121"/>
  <c r="T2" i="131"/>
  <c r="L2" i="131"/>
  <c r="P2" i="130"/>
  <c r="AC2" i="130"/>
  <c r="X2" i="130"/>
  <c r="T2" i="128"/>
  <c r="T3" i="128"/>
  <c r="P2" i="128"/>
  <c r="P3" i="128"/>
  <c r="AE5" i="128"/>
  <c r="AC5" i="128"/>
  <c r="L5" i="128"/>
  <c r="AC2" i="128"/>
  <c r="AB5" i="128"/>
  <c r="AC3" i="128"/>
  <c r="L4" i="128"/>
  <c r="X2" i="128"/>
  <c r="L2" i="128"/>
  <c r="L3" i="128"/>
  <c r="AC2" i="127"/>
  <c r="P4" i="126"/>
  <c r="AB2" i="126"/>
  <c r="AB3" i="126"/>
  <c r="L4" i="126"/>
  <c r="AE3" i="126"/>
  <c r="T2" i="126"/>
  <c r="AC4" i="126"/>
  <c r="AE4" i="126"/>
  <c r="T4" i="123"/>
  <c r="X2" i="123"/>
  <c r="AC5" i="123"/>
  <c r="AF5" i="123" s="1"/>
  <c r="AH5" i="123" s="1"/>
  <c r="X3" i="123"/>
  <c r="X4" i="123"/>
  <c r="AC3" i="124"/>
  <c r="AF3" i="124" s="1"/>
  <c r="AH3" i="124" s="1"/>
  <c r="P2" i="124"/>
  <c r="T2" i="124"/>
  <c r="L7" i="122"/>
  <c r="P3" i="122"/>
  <c r="T7" i="122"/>
  <c r="X6" i="122"/>
  <c r="X7" i="122"/>
  <c r="L2" i="122"/>
  <c r="P2" i="122"/>
  <c r="X4" i="122"/>
  <c r="T5" i="121"/>
  <c r="P4" i="121"/>
  <c r="AC4" i="121"/>
  <c r="AF4" i="121" s="1"/>
  <c r="AH4" i="121" s="1"/>
  <c r="X2" i="121"/>
  <c r="AC3" i="122"/>
  <c r="AF3" i="122" s="1"/>
  <c r="AH3" i="122" s="1"/>
  <c r="T6" i="122"/>
  <c r="P6" i="122"/>
  <c r="P4" i="122"/>
  <c r="AC2" i="122"/>
  <c r="AF2" i="122" s="1"/>
  <c r="AH2" i="122" s="1"/>
  <c r="AB4" i="122"/>
  <c r="AB7" i="122"/>
  <c r="P5" i="122"/>
  <c r="AB3" i="122"/>
  <c r="AB2" i="122"/>
  <c r="T2" i="122"/>
  <c r="T4" i="122"/>
  <c r="T3" i="122"/>
  <c r="T5" i="122"/>
  <c r="X6" i="120"/>
  <c r="T7" i="120"/>
  <c r="P6" i="114"/>
  <c r="L7" i="114"/>
  <c r="AB4" i="114"/>
  <c r="AC3" i="114"/>
  <c r="AF3" i="114" s="1"/>
  <c r="AH3" i="114" s="1"/>
  <c r="X7" i="114"/>
  <c r="T2" i="114"/>
  <c r="AC12" i="113"/>
  <c r="AF12" i="113" s="1"/>
  <c r="AH12" i="113" s="1"/>
  <c r="P12" i="113"/>
  <c r="L2" i="112"/>
  <c r="P5" i="112"/>
  <c r="X3" i="112"/>
  <c r="P13" i="110"/>
  <c r="AB12" i="110"/>
  <c r="AC12" i="110"/>
  <c r="AF12" i="110" s="1"/>
  <c r="AH12" i="110" s="1"/>
  <c r="X12" i="110"/>
  <c r="T7" i="118"/>
  <c r="X7" i="118"/>
  <c r="X6" i="118"/>
  <c r="AB6" i="118"/>
  <c r="L4" i="118"/>
  <c r="T3" i="118"/>
  <c r="X2" i="118"/>
  <c r="X3" i="118"/>
  <c r="AB4" i="118"/>
  <c r="AC6" i="118"/>
  <c r="AF6" i="118" s="1"/>
  <c r="AH6" i="118" s="1"/>
  <c r="AC3" i="118"/>
  <c r="AF3" i="118" s="1"/>
  <c r="AH3" i="118" s="1"/>
  <c r="T6" i="118"/>
  <c r="T4" i="118"/>
  <c r="AC5" i="118"/>
  <c r="AF5" i="118" s="1"/>
  <c r="AH5" i="118" s="1"/>
  <c r="P3" i="118"/>
  <c r="P4" i="118"/>
  <c r="P7" i="118"/>
  <c r="L4" i="117"/>
  <c r="X6" i="117"/>
  <c r="AC4" i="117"/>
  <c r="AF4" i="117" s="1"/>
  <c r="AH4" i="117" s="1"/>
  <c r="T4" i="117"/>
  <c r="X13" i="110"/>
  <c r="P4" i="109"/>
  <c r="P5" i="109"/>
  <c r="X8" i="109"/>
  <c r="P8" i="109"/>
  <c r="X3" i="109"/>
  <c r="X6" i="109"/>
  <c r="P3" i="109"/>
  <c r="X4" i="109"/>
  <c r="AB5" i="109"/>
  <c r="AC4" i="109"/>
  <c r="AF4" i="109" s="1"/>
  <c r="AH4" i="109" s="1"/>
  <c r="T5" i="109"/>
  <c r="T3" i="109"/>
  <c r="T7" i="109"/>
  <c r="T4" i="109"/>
  <c r="T8" i="109"/>
  <c r="AC3" i="106"/>
  <c r="AF3" i="106" s="1"/>
  <c r="AH3" i="106" s="1"/>
  <c r="P5" i="106"/>
  <c r="AC3" i="108"/>
  <c r="AF3" i="108" s="1"/>
  <c r="AH3" i="108" s="1"/>
  <c r="AC3" i="107"/>
  <c r="AF3" i="107" s="1"/>
  <c r="AH3" i="107" s="1"/>
  <c r="P2" i="103"/>
  <c r="AC2" i="103"/>
  <c r="AF2" i="103" s="1"/>
  <c r="AH2" i="103" s="1"/>
  <c r="L5" i="100"/>
  <c r="L3" i="100"/>
  <c r="AB10" i="100"/>
  <c r="L4" i="100"/>
  <c r="T9" i="100"/>
  <c r="L9" i="100"/>
  <c r="X11" i="100"/>
  <c r="L10" i="100"/>
  <c r="P11" i="100"/>
  <c r="AB4" i="100"/>
  <c r="AC11" i="100"/>
  <c r="AF11" i="100" s="1"/>
  <c r="AH11" i="100" s="1"/>
  <c r="T7" i="100"/>
  <c r="T11" i="100"/>
  <c r="T4" i="100"/>
  <c r="P7" i="100"/>
  <c r="P10" i="100"/>
  <c r="P3" i="100"/>
  <c r="P5" i="100"/>
  <c r="X5" i="101"/>
  <c r="X7" i="101"/>
  <c r="X4" i="101"/>
  <c r="P6" i="101"/>
  <c r="L6" i="101"/>
  <c r="T4" i="101"/>
  <c r="P4" i="101"/>
  <c r="L4" i="101"/>
  <c r="AC5" i="101"/>
  <c r="AF5" i="101" s="1"/>
  <c r="AH5" i="101" s="1"/>
  <c r="X6" i="101"/>
  <c r="L5" i="101"/>
  <c r="P7" i="101"/>
  <c r="L7" i="101"/>
  <c r="L3" i="97"/>
  <c r="AB4" i="97"/>
  <c r="P6" i="97"/>
  <c r="L6" i="97"/>
  <c r="L5" i="97"/>
  <c r="T5" i="97"/>
  <c r="AB3" i="97"/>
  <c r="T3" i="97"/>
  <c r="P3" i="97"/>
  <c r="AC2" i="132"/>
  <c r="AC3" i="126"/>
  <c r="AE2" i="125"/>
  <c r="AC2" i="124"/>
  <c r="AF2" i="124" s="1"/>
  <c r="AH2" i="124" s="1"/>
  <c r="AC5" i="122"/>
  <c r="AF5" i="122" s="1"/>
  <c r="AH5" i="122" s="1"/>
  <c r="AC4" i="122"/>
  <c r="AF4" i="122" s="1"/>
  <c r="AH4" i="122" s="1"/>
  <c r="AC6" i="111"/>
  <c r="AF6" i="111" s="1"/>
  <c r="AH6" i="111" s="1"/>
  <c r="AC8" i="111"/>
  <c r="AF8" i="111" s="1"/>
  <c r="AH8" i="111" s="1"/>
  <c r="AB7" i="110"/>
  <c r="AB16" i="110"/>
  <c r="AB2" i="103"/>
  <c r="AB5" i="103"/>
  <c r="AC4" i="103"/>
  <c r="AF4" i="103" s="1"/>
  <c r="AH4" i="103" s="1"/>
  <c r="AI4" i="103" s="1"/>
  <c r="AC3" i="103"/>
  <c r="AF3" i="103" s="1"/>
  <c r="AH3" i="103" s="1"/>
  <c r="T6" i="97"/>
  <c r="T2" i="97"/>
  <c r="AB7" i="120"/>
  <c r="AB6" i="120"/>
  <c r="T6" i="120"/>
  <c r="AC7" i="120"/>
  <c r="AF7" i="120" s="1"/>
  <c r="AH7" i="120" s="1"/>
  <c r="AC3" i="97"/>
  <c r="AF3" i="97" s="1"/>
  <c r="AH3" i="97" s="1"/>
  <c r="AE2" i="132"/>
  <c r="L2" i="132"/>
  <c r="P2" i="132"/>
  <c r="AC3" i="131"/>
  <c r="P3" i="131"/>
  <c r="AC2" i="131"/>
  <c r="AE3" i="131"/>
  <c r="AE2" i="131"/>
  <c r="X3" i="130"/>
  <c r="AE2" i="130"/>
  <c r="AB3" i="130"/>
  <c r="AE3" i="130"/>
  <c r="T2" i="130"/>
  <c r="AC3" i="130"/>
  <c r="AE3" i="129"/>
  <c r="L3" i="129"/>
  <c r="T3" i="129"/>
  <c r="X3" i="129"/>
  <c r="AC2" i="129"/>
  <c r="P2" i="129"/>
  <c r="AC3" i="129"/>
  <c r="T2" i="129"/>
  <c r="AE2" i="129"/>
  <c r="X3" i="128"/>
  <c r="AB4" i="128"/>
  <c r="AE3" i="128"/>
  <c r="AB2" i="128"/>
  <c r="P5" i="128"/>
  <c r="AE2" i="128"/>
  <c r="T5" i="128"/>
  <c r="AE4" i="128"/>
  <c r="P4" i="128"/>
  <c r="AC4" i="128"/>
  <c r="P2" i="127"/>
  <c r="AE2" i="127"/>
  <c r="X3" i="126"/>
  <c r="AE2" i="126"/>
  <c r="L3" i="126"/>
  <c r="L2" i="126"/>
  <c r="AC2" i="126"/>
  <c r="T4" i="126"/>
  <c r="T3" i="126"/>
  <c r="P2" i="126"/>
  <c r="AC2" i="125"/>
  <c r="L2" i="125"/>
  <c r="AB2" i="124"/>
  <c r="P3" i="124"/>
  <c r="L4" i="124"/>
  <c r="T3" i="124"/>
  <c r="X3" i="124"/>
  <c r="AB3" i="124"/>
  <c r="X2" i="124"/>
  <c r="AC4" i="124"/>
  <c r="AF4" i="124" s="1"/>
  <c r="AH4" i="124" s="1"/>
  <c r="L3" i="124"/>
  <c r="L2" i="124"/>
  <c r="L5" i="123"/>
  <c r="P4" i="123"/>
  <c r="T3" i="123"/>
  <c r="P5" i="123"/>
  <c r="AB4" i="123"/>
  <c r="T2" i="123"/>
  <c r="AB5" i="123"/>
  <c r="L4" i="123"/>
  <c r="X5" i="123"/>
  <c r="L3" i="123"/>
  <c r="AB3" i="123"/>
  <c r="AC4" i="123"/>
  <c r="AF4" i="123" s="1"/>
  <c r="AH4" i="123" s="1"/>
  <c r="L2" i="123"/>
  <c r="AB2" i="123"/>
  <c r="AC3" i="123"/>
  <c r="AF3" i="123" s="1"/>
  <c r="AH3" i="123" s="1"/>
  <c r="AC2" i="123"/>
  <c r="AF2" i="123" s="1"/>
  <c r="AH2" i="123" s="1"/>
  <c r="P2" i="123"/>
  <c r="AC7" i="122"/>
  <c r="AF7" i="122" s="1"/>
  <c r="AH7" i="122" s="1"/>
  <c r="L4" i="122"/>
  <c r="L3" i="122"/>
  <c r="X2" i="122"/>
  <c r="L5" i="122"/>
  <c r="AC6" i="122"/>
  <c r="AF6" i="122" s="1"/>
  <c r="AH6" i="122" s="1"/>
  <c r="T10" i="121"/>
  <c r="AC5" i="121"/>
  <c r="AF5" i="121" s="1"/>
  <c r="AH5" i="121" s="1"/>
  <c r="L2" i="121"/>
  <c r="P2" i="121"/>
  <c r="L4" i="121"/>
  <c r="T2" i="121"/>
  <c r="AC2" i="121"/>
  <c r="AF2" i="121" s="1"/>
  <c r="AH2" i="121" s="1"/>
  <c r="T3" i="121"/>
  <c r="L6" i="121"/>
  <c r="X5" i="121"/>
  <c r="T7" i="121"/>
  <c r="P3" i="121"/>
  <c r="T8" i="121"/>
  <c r="AC3" i="121"/>
  <c r="AF3" i="121" s="1"/>
  <c r="AH3" i="121" s="1"/>
  <c r="AB3" i="121"/>
  <c r="X3" i="121"/>
  <c r="L3" i="121"/>
  <c r="T6" i="121"/>
  <c r="AB5" i="121"/>
  <c r="L5" i="121"/>
  <c r="P11" i="121"/>
  <c r="L10" i="121"/>
  <c r="P5" i="121"/>
  <c r="AB9" i="121"/>
  <c r="AC8" i="121"/>
  <c r="AF8" i="121" s="1"/>
  <c r="AH8" i="121" s="1"/>
  <c r="X11" i="121"/>
  <c r="AB10" i="121"/>
  <c r="L12" i="121"/>
  <c r="X10" i="121"/>
  <c r="X9" i="121"/>
  <c r="AC10" i="121"/>
  <c r="AF10" i="121" s="1"/>
  <c r="AH10" i="121" s="1"/>
  <c r="AB11" i="121"/>
  <c r="P12" i="121"/>
  <c r="X8" i="121"/>
  <c r="X6" i="121"/>
  <c r="P10" i="121"/>
  <c r="AC6" i="121"/>
  <c r="AF6" i="121" s="1"/>
  <c r="AH6" i="121" s="1"/>
  <c r="P8" i="121"/>
  <c r="P7" i="121"/>
  <c r="X12" i="121"/>
  <c r="AB12" i="121"/>
  <c r="AC11" i="121"/>
  <c r="AF11" i="121" s="1"/>
  <c r="AH11" i="121" s="1"/>
  <c r="T9" i="121"/>
  <c r="L7" i="121"/>
  <c r="AB8" i="121"/>
  <c r="AC9" i="121"/>
  <c r="AF9" i="121" s="1"/>
  <c r="AH9" i="121" s="1"/>
  <c r="P9" i="121"/>
  <c r="L8" i="121"/>
  <c r="AB7" i="121"/>
  <c r="AC12" i="121"/>
  <c r="AF12" i="121" s="1"/>
  <c r="AH12" i="121" s="1"/>
  <c r="P6" i="121"/>
  <c r="T11" i="121"/>
  <c r="X7" i="121"/>
  <c r="T12" i="121"/>
  <c r="L9" i="121"/>
  <c r="AC7" i="121"/>
  <c r="AF7" i="121" s="1"/>
  <c r="AH7" i="121" s="1"/>
  <c r="L11" i="121"/>
  <c r="AB6" i="121"/>
  <c r="P6" i="120"/>
  <c r="X5" i="120"/>
  <c r="P7" i="120"/>
  <c r="L2" i="120"/>
  <c r="AC6" i="120"/>
  <c r="AF6" i="120" s="1"/>
  <c r="AH6" i="120" s="1"/>
  <c r="L4" i="120"/>
  <c r="P2" i="120"/>
  <c r="L3" i="120"/>
  <c r="X4" i="120"/>
  <c r="AC2" i="120"/>
  <c r="AF2" i="120" s="1"/>
  <c r="AH2" i="120" s="1"/>
  <c r="AB2" i="120"/>
  <c r="AB4" i="120"/>
  <c r="X2" i="120"/>
  <c r="T2" i="120"/>
  <c r="AB3" i="120"/>
  <c r="X3" i="120"/>
  <c r="T5" i="120"/>
  <c r="T3" i="120"/>
  <c r="T4" i="120"/>
  <c r="P3" i="120"/>
  <c r="AC4" i="120"/>
  <c r="AF4" i="120" s="1"/>
  <c r="AH4" i="120" s="1"/>
  <c r="AC5" i="120"/>
  <c r="AF5" i="120" s="1"/>
  <c r="AH5" i="120" s="1"/>
  <c r="P4" i="120"/>
  <c r="AC3" i="120"/>
  <c r="AF3" i="120" s="1"/>
  <c r="AH3" i="120" s="1"/>
  <c r="AB5" i="120"/>
  <c r="L5" i="120"/>
  <c r="P5" i="120"/>
  <c r="L3" i="119"/>
  <c r="T3" i="119"/>
  <c r="X3" i="119"/>
  <c r="AC2" i="119"/>
  <c r="AF2" i="119" s="1"/>
  <c r="AH2" i="119" s="1"/>
  <c r="AI2" i="119" s="1"/>
  <c r="P3" i="119"/>
  <c r="P2" i="119"/>
  <c r="L6" i="118"/>
  <c r="AC4" i="118"/>
  <c r="AF4" i="118" s="1"/>
  <c r="AH4" i="118" s="1"/>
  <c r="X5" i="118"/>
  <c r="L3" i="118"/>
  <c r="L7" i="118"/>
  <c r="AB7" i="118"/>
  <c r="P6" i="118"/>
  <c r="AC2" i="118"/>
  <c r="AF2" i="118" s="1"/>
  <c r="AH2" i="118" s="1"/>
  <c r="L5" i="118"/>
  <c r="AB5" i="118"/>
  <c r="AC7" i="118"/>
  <c r="AF7" i="118" s="1"/>
  <c r="AH7" i="118" s="1"/>
  <c r="L2" i="118"/>
  <c r="L3" i="117"/>
  <c r="P4" i="117"/>
  <c r="AB6" i="117"/>
  <c r="AC6" i="117"/>
  <c r="AF6" i="117" s="1"/>
  <c r="AH6" i="117" s="1"/>
  <c r="AB4" i="117"/>
  <c r="X7" i="117"/>
  <c r="P6" i="117"/>
  <c r="AC2" i="117"/>
  <c r="AF2" i="117" s="1"/>
  <c r="AH2" i="117" s="1"/>
  <c r="X2" i="117"/>
  <c r="P2" i="117"/>
  <c r="L6" i="117"/>
  <c r="L2" i="117"/>
  <c r="AB5" i="117"/>
  <c r="T2" i="117"/>
  <c r="AB3" i="117"/>
  <c r="T7" i="117"/>
  <c r="AB2" i="117"/>
  <c r="L7" i="117"/>
  <c r="X3" i="117"/>
  <c r="T3" i="117"/>
  <c r="AC5" i="117"/>
  <c r="AF5" i="117" s="1"/>
  <c r="AH5" i="117" s="1"/>
  <c r="P7" i="117"/>
  <c r="P3" i="117"/>
  <c r="AC3" i="117"/>
  <c r="AF3" i="117" s="1"/>
  <c r="AH3" i="117" s="1"/>
  <c r="T5" i="117"/>
  <c r="X5" i="117"/>
  <c r="AB7" i="117"/>
  <c r="L5" i="117"/>
  <c r="AC7" i="117"/>
  <c r="AF7" i="117" s="1"/>
  <c r="AH7" i="117" s="1"/>
  <c r="AC2" i="116"/>
  <c r="AF2" i="116" s="1"/>
  <c r="AH2" i="116" s="1"/>
  <c r="X3" i="116"/>
  <c r="L2" i="116"/>
  <c r="AB2" i="116"/>
  <c r="AB3" i="116"/>
  <c r="AC3" i="116"/>
  <c r="AF3" i="116" s="1"/>
  <c r="AH3" i="116" s="1"/>
  <c r="P2" i="116"/>
  <c r="X2" i="116"/>
  <c r="L3" i="116"/>
  <c r="AC2" i="115"/>
  <c r="AF2" i="115" s="1"/>
  <c r="AH2" i="115" s="1"/>
  <c r="AI2" i="115" s="1"/>
  <c r="AB2" i="114"/>
  <c r="AC5" i="114"/>
  <c r="AF5" i="114" s="1"/>
  <c r="AH5" i="114" s="1"/>
  <c r="L5" i="114"/>
  <c r="P3" i="114"/>
  <c r="T3" i="114"/>
  <c r="P4" i="114"/>
  <c r="X3" i="114"/>
  <c r="AB7" i="114"/>
  <c r="AC6" i="114"/>
  <c r="AF6" i="114" s="1"/>
  <c r="AH6" i="114" s="1"/>
  <c r="L2" i="114"/>
  <c r="T4" i="114"/>
  <c r="AB3" i="114"/>
  <c r="AC4" i="114"/>
  <c r="AF4" i="114" s="1"/>
  <c r="AH4" i="114" s="1"/>
  <c r="P5" i="114"/>
  <c r="P2" i="114"/>
  <c r="T6" i="114"/>
  <c r="X4" i="114"/>
  <c r="X5" i="114"/>
  <c r="AC2" i="114"/>
  <c r="AF2" i="114" s="1"/>
  <c r="AH2" i="114" s="1"/>
  <c r="AC7" i="114"/>
  <c r="AF7" i="114" s="1"/>
  <c r="AH7" i="114" s="1"/>
  <c r="P7" i="114"/>
  <c r="L3" i="114"/>
  <c r="AB5" i="114"/>
  <c r="X2" i="114"/>
  <c r="L4" i="114"/>
  <c r="AB6" i="114"/>
  <c r="L6" i="114"/>
  <c r="P9" i="113"/>
  <c r="AB18" i="113"/>
  <c r="X4" i="113"/>
  <c r="X18" i="113"/>
  <c r="P18" i="113"/>
  <c r="T9" i="113"/>
  <c r="AC9" i="113"/>
  <c r="AF9" i="113" s="1"/>
  <c r="AH9" i="113" s="1"/>
  <c r="AC18" i="113"/>
  <c r="AF18" i="113" s="1"/>
  <c r="AH18" i="113" s="1"/>
  <c r="X9" i="113"/>
  <c r="AB4" i="113"/>
  <c r="T4" i="113"/>
  <c r="X15" i="113"/>
  <c r="AC4" i="113"/>
  <c r="AF4" i="113" s="1"/>
  <c r="AH4" i="113" s="1"/>
  <c r="X7" i="113"/>
  <c r="P4" i="113"/>
  <c r="AB7" i="113"/>
  <c r="P7" i="113"/>
  <c r="X17" i="113"/>
  <c r="AC7" i="113"/>
  <c r="AF7" i="113" s="1"/>
  <c r="AH7" i="113" s="1"/>
  <c r="T15" i="113"/>
  <c r="T7" i="113"/>
  <c r="P15" i="113"/>
  <c r="AC15" i="113"/>
  <c r="AF15" i="113" s="1"/>
  <c r="AH15" i="113" s="1"/>
  <c r="T17" i="113"/>
  <c r="AB15" i="113"/>
  <c r="AC5" i="113"/>
  <c r="AF5" i="113" s="1"/>
  <c r="AH5" i="113" s="1"/>
  <c r="P5" i="113"/>
  <c r="X6" i="113"/>
  <c r="AB6" i="113"/>
  <c r="AB17" i="113"/>
  <c r="X5" i="113"/>
  <c r="T5" i="113"/>
  <c r="T14" i="113"/>
  <c r="AB2" i="113"/>
  <c r="AC17" i="113"/>
  <c r="AF17" i="113" s="1"/>
  <c r="AH17" i="113" s="1"/>
  <c r="AB5" i="113"/>
  <c r="T10" i="113"/>
  <c r="P17" i="113"/>
  <c r="AC6" i="113"/>
  <c r="AF6" i="113" s="1"/>
  <c r="AH6" i="113" s="1"/>
  <c r="X3" i="113"/>
  <c r="T19" i="113"/>
  <c r="T13" i="113"/>
  <c r="T6" i="113"/>
  <c r="X14" i="113"/>
  <c r="T3" i="113"/>
  <c r="P19" i="113"/>
  <c r="P6" i="113"/>
  <c r="T8" i="113"/>
  <c r="T11" i="113"/>
  <c r="AB3" i="113"/>
  <c r="T2" i="113"/>
  <c r="T16" i="113"/>
  <c r="AB14" i="113"/>
  <c r="AB13" i="113"/>
  <c r="X10" i="113"/>
  <c r="AB11" i="113"/>
  <c r="P3" i="113"/>
  <c r="X11" i="113"/>
  <c r="P2" i="113"/>
  <c r="AB19" i="113"/>
  <c r="X2" i="113"/>
  <c r="AB10" i="113"/>
  <c r="P8" i="113"/>
  <c r="X8" i="113"/>
  <c r="P16" i="113"/>
  <c r="P11" i="113"/>
  <c r="P10" i="113"/>
  <c r="X16" i="113"/>
  <c r="X19" i="113"/>
  <c r="AB16" i="113"/>
  <c r="P14" i="113"/>
  <c r="P13" i="113"/>
  <c r="X13" i="113"/>
  <c r="AB8" i="113"/>
  <c r="P4" i="112"/>
  <c r="AB3" i="112"/>
  <c r="AC5" i="112"/>
  <c r="AF5" i="112" s="1"/>
  <c r="AH5" i="112" s="1"/>
  <c r="T4" i="112"/>
  <c r="X4" i="112"/>
  <c r="AC8" i="112"/>
  <c r="AF8" i="112" s="1"/>
  <c r="AH8" i="112" s="1"/>
  <c r="L6" i="112"/>
  <c r="AB8" i="112"/>
  <c r="AC2" i="112"/>
  <c r="AF2" i="112" s="1"/>
  <c r="AH2" i="112" s="1"/>
  <c r="P6" i="112"/>
  <c r="X7" i="112"/>
  <c r="L3" i="112"/>
  <c r="P2" i="112"/>
  <c r="T6" i="112"/>
  <c r="X5" i="112"/>
  <c r="AB5" i="112"/>
  <c r="AC3" i="112"/>
  <c r="AF3" i="112" s="1"/>
  <c r="AH3" i="112" s="1"/>
  <c r="T8" i="112"/>
  <c r="X6" i="112"/>
  <c r="T3" i="112"/>
  <c r="AB6" i="112"/>
  <c r="L4" i="112"/>
  <c r="AB4" i="112"/>
  <c r="P3" i="112"/>
  <c r="L7" i="112"/>
  <c r="AB7" i="112"/>
  <c r="AC4" i="112"/>
  <c r="AF4" i="112" s="1"/>
  <c r="AH4" i="112" s="1"/>
  <c r="P8" i="112"/>
  <c r="T2" i="112"/>
  <c r="AC7" i="112"/>
  <c r="AF7" i="112" s="1"/>
  <c r="AH7" i="112" s="1"/>
  <c r="X2" i="112"/>
  <c r="L8" i="112"/>
  <c r="P7" i="112"/>
  <c r="AC6" i="112"/>
  <c r="AF6" i="112" s="1"/>
  <c r="AH6" i="112" s="1"/>
  <c r="X8" i="112"/>
  <c r="AC4" i="111"/>
  <c r="AF4" i="111" s="1"/>
  <c r="AH4" i="111" s="1"/>
  <c r="X3" i="111"/>
  <c r="P6" i="111"/>
  <c r="X4" i="111"/>
  <c r="AB7" i="111"/>
  <c r="AC2" i="111"/>
  <c r="AF2" i="111" s="1"/>
  <c r="AH2" i="111" s="1"/>
  <c r="T3" i="111"/>
  <c r="T8" i="111"/>
  <c r="AB5" i="111"/>
  <c r="AB4" i="111"/>
  <c r="P9" i="111"/>
  <c r="T2" i="111"/>
  <c r="X8" i="111"/>
  <c r="T7" i="111"/>
  <c r="X6" i="111"/>
  <c r="AC5" i="111"/>
  <c r="AF5" i="111" s="1"/>
  <c r="AH5" i="111" s="1"/>
  <c r="X2" i="111"/>
  <c r="AB3" i="111"/>
  <c r="AB8" i="111"/>
  <c r="L3" i="111"/>
  <c r="AC7" i="111"/>
  <c r="AF7" i="111" s="1"/>
  <c r="AH7" i="111" s="1"/>
  <c r="P5" i="111"/>
  <c r="X9" i="111"/>
  <c r="AC3" i="111"/>
  <c r="AF3" i="111" s="1"/>
  <c r="AH3" i="111" s="1"/>
  <c r="L9" i="111"/>
  <c r="L5" i="111"/>
  <c r="AC9" i="111"/>
  <c r="AF9" i="111" s="1"/>
  <c r="AH9" i="111" s="1"/>
  <c r="P2" i="111"/>
  <c r="L7" i="111"/>
  <c r="T4" i="111"/>
  <c r="X5" i="111"/>
  <c r="T6" i="111"/>
  <c r="X7" i="111"/>
  <c r="AB9" i="111"/>
  <c r="L6" i="111"/>
  <c r="T9" i="111"/>
  <c r="P4" i="111"/>
  <c r="L8" i="111"/>
  <c r="AB6" i="111"/>
  <c r="X7" i="110"/>
  <c r="L9" i="110"/>
  <c r="AB13" i="110"/>
  <c r="L16" i="110"/>
  <c r="L13" i="110"/>
  <c r="T9" i="110"/>
  <c r="AC7" i="110"/>
  <c r="AF7" i="110" s="1"/>
  <c r="AH7" i="110" s="1"/>
  <c r="AC13" i="110"/>
  <c r="AF13" i="110" s="1"/>
  <c r="AH13" i="110" s="1"/>
  <c r="P16" i="110"/>
  <c r="L14" i="110"/>
  <c r="AC16" i="110"/>
  <c r="AF16" i="110" s="1"/>
  <c r="AH16" i="110" s="1"/>
  <c r="X16" i="110"/>
  <c r="X9" i="110"/>
  <c r="T16" i="110"/>
  <c r="AB9" i="110"/>
  <c r="P14" i="110"/>
  <c r="T20" i="110"/>
  <c r="AC9" i="110"/>
  <c r="AF9" i="110" s="1"/>
  <c r="AH9" i="110" s="1"/>
  <c r="T14" i="110"/>
  <c r="AB21" i="110"/>
  <c r="P9" i="110"/>
  <c r="AB20" i="110"/>
  <c r="AC14" i="110"/>
  <c r="AF14" i="110" s="1"/>
  <c r="AH14" i="110" s="1"/>
  <c r="AC20" i="110"/>
  <c r="AF20" i="110" s="1"/>
  <c r="AH20" i="110" s="1"/>
  <c r="X14" i="110"/>
  <c r="X5" i="110"/>
  <c r="L21" i="110"/>
  <c r="X19" i="110"/>
  <c r="L5" i="110"/>
  <c r="L20" i="110"/>
  <c r="AB14" i="110"/>
  <c r="AC21" i="110"/>
  <c r="AF21" i="110" s="1"/>
  <c r="AH21" i="110" s="1"/>
  <c r="P20" i="110"/>
  <c r="P21" i="110"/>
  <c r="X20" i="110"/>
  <c r="AB17" i="110"/>
  <c r="T21" i="110"/>
  <c r="X21" i="110"/>
  <c r="AB19" i="110"/>
  <c r="P19" i="110"/>
  <c r="X17" i="110"/>
  <c r="T19" i="110"/>
  <c r="L19" i="110"/>
  <c r="AC5" i="110"/>
  <c r="AF5" i="110" s="1"/>
  <c r="AH5" i="110" s="1"/>
  <c r="AC19" i="110"/>
  <c r="AF19" i="110" s="1"/>
  <c r="AH19" i="110" s="1"/>
  <c r="AC17" i="110"/>
  <c r="AF17" i="110" s="1"/>
  <c r="AH17" i="110" s="1"/>
  <c r="L18" i="110"/>
  <c r="T4" i="110"/>
  <c r="P5" i="110"/>
  <c r="AB5" i="110"/>
  <c r="X4" i="110"/>
  <c r="T5" i="110"/>
  <c r="T6" i="110"/>
  <c r="L17" i="110"/>
  <c r="T17" i="110"/>
  <c r="L6" i="110"/>
  <c r="P17" i="110"/>
  <c r="AC8" i="110"/>
  <c r="AF8" i="110" s="1"/>
  <c r="AH8" i="110" s="1"/>
  <c r="L15" i="110"/>
  <c r="T8" i="110"/>
  <c r="AB6" i="110"/>
  <c r="T2" i="110"/>
  <c r="AC6" i="110"/>
  <c r="AF6" i="110" s="1"/>
  <c r="AH6" i="110" s="1"/>
  <c r="P6" i="110"/>
  <c r="P15" i="110"/>
  <c r="AB15" i="110"/>
  <c r="AB18" i="110"/>
  <c r="L3" i="110"/>
  <c r="X10" i="110"/>
  <c r="AC15" i="110"/>
  <c r="AF15" i="110" s="1"/>
  <c r="AH15" i="110" s="1"/>
  <c r="X6" i="110"/>
  <c r="AC11" i="110"/>
  <c r="AF11" i="110" s="1"/>
  <c r="AH11" i="110" s="1"/>
  <c r="X11" i="110"/>
  <c r="AC4" i="110"/>
  <c r="AF4" i="110" s="1"/>
  <c r="AH4" i="110" s="1"/>
  <c r="X2" i="110"/>
  <c r="AB11" i="110"/>
  <c r="P10" i="110"/>
  <c r="X15" i="110"/>
  <c r="L8" i="110"/>
  <c r="T10" i="110"/>
  <c r="AB2" i="110"/>
  <c r="T15" i="110"/>
  <c r="P3" i="110"/>
  <c r="T18" i="110"/>
  <c r="AB4" i="110"/>
  <c r="T3" i="110"/>
  <c r="P11" i="110"/>
  <c r="X8" i="110"/>
  <c r="L2" i="110"/>
  <c r="T11" i="110"/>
  <c r="X3" i="110"/>
  <c r="X18" i="110"/>
  <c r="AB8" i="110"/>
  <c r="P2" i="110"/>
  <c r="AB3" i="110"/>
  <c r="P4" i="110"/>
  <c r="P8" i="110"/>
  <c r="L11" i="110"/>
  <c r="AC3" i="110"/>
  <c r="AF3" i="110" s="1"/>
  <c r="AH3" i="110" s="1"/>
  <c r="P18" i="110"/>
  <c r="AC18" i="110"/>
  <c r="AF18" i="110" s="1"/>
  <c r="AH18" i="110" s="1"/>
  <c r="AB10" i="110"/>
  <c r="AC2" i="110"/>
  <c r="AF2" i="110" s="1"/>
  <c r="AH2" i="110" s="1"/>
  <c r="L4" i="110"/>
  <c r="AC10" i="110"/>
  <c r="AF10" i="110" s="1"/>
  <c r="AH10" i="110" s="1"/>
  <c r="L10" i="110"/>
  <c r="AC8" i="109"/>
  <c r="AF8" i="109" s="1"/>
  <c r="AH8" i="109" s="1"/>
  <c r="AC3" i="109"/>
  <c r="AF3" i="109" s="1"/>
  <c r="AH3" i="109" s="1"/>
  <c r="AC5" i="109"/>
  <c r="AF5" i="109" s="1"/>
  <c r="AH5" i="109" s="1"/>
  <c r="AC2" i="109"/>
  <c r="AF2" i="109" s="1"/>
  <c r="AH2" i="109" s="1"/>
  <c r="L5" i="109"/>
  <c r="AC6" i="109"/>
  <c r="AF6" i="109" s="1"/>
  <c r="AH6" i="109" s="1"/>
  <c r="AC7" i="109"/>
  <c r="AF7" i="109" s="1"/>
  <c r="AH7" i="109" s="1"/>
  <c r="AB6" i="109"/>
  <c r="T6" i="109"/>
  <c r="AB2" i="109"/>
  <c r="L2" i="109"/>
  <c r="L6" i="109"/>
  <c r="T3" i="108"/>
  <c r="L3" i="108"/>
  <c r="AC2" i="108"/>
  <c r="AF2" i="108" s="1"/>
  <c r="AH2" i="108" s="1"/>
  <c r="AI2" i="108" s="1"/>
  <c r="P3" i="108"/>
  <c r="AC4" i="107"/>
  <c r="AF4" i="107" s="1"/>
  <c r="AH4" i="107" s="1"/>
  <c r="T2" i="107"/>
  <c r="T4" i="107"/>
  <c r="X2" i="107"/>
  <c r="AB4" i="107"/>
  <c r="AB3" i="107"/>
  <c r="L4" i="107"/>
  <c r="L3" i="107"/>
  <c r="AC2" i="107"/>
  <c r="AF2" i="107" s="1"/>
  <c r="AH2" i="107" s="1"/>
  <c r="AC5" i="106"/>
  <c r="AF5" i="106" s="1"/>
  <c r="AH5" i="106" s="1"/>
  <c r="T3" i="106"/>
  <c r="AC4" i="106"/>
  <c r="AF4" i="106" s="1"/>
  <c r="AH4" i="106" s="1"/>
  <c r="AI4" i="106" s="1"/>
  <c r="T4" i="106"/>
  <c r="AC2" i="106"/>
  <c r="AF2" i="106" s="1"/>
  <c r="AH2" i="106" s="1"/>
  <c r="AI2" i="106" s="1"/>
  <c r="L2" i="106"/>
  <c r="X2" i="105"/>
  <c r="L2" i="105"/>
  <c r="AC2" i="105"/>
  <c r="AF2" i="105" s="1"/>
  <c r="AH2" i="105" s="1"/>
  <c r="AB2" i="105"/>
  <c r="L2" i="103"/>
  <c r="L4" i="103"/>
  <c r="AC5" i="103"/>
  <c r="AF5" i="103" s="1"/>
  <c r="AH5" i="103" s="1"/>
  <c r="AB2" i="102"/>
  <c r="AC2" i="102"/>
  <c r="AF2" i="102" s="1"/>
  <c r="AH2" i="102" s="1"/>
  <c r="AC5" i="102"/>
  <c r="AF5" i="102" s="1"/>
  <c r="AH5" i="102" s="1"/>
  <c r="AC4" i="102"/>
  <c r="AF4" i="102" s="1"/>
  <c r="AH4" i="102" s="1"/>
  <c r="T5" i="102"/>
  <c r="AB4" i="102"/>
  <c r="T3" i="102"/>
  <c r="X3" i="102"/>
  <c r="P3" i="102"/>
  <c r="AC3" i="102"/>
  <c r="AF3" i="102" s="1"/>
  <c r="AH3" i="102" s="1"/>
  <c r="L5" i="102"/>
  <c r="L2" i="102"/>
  <c r="P4" i="102"/>
  <c r="X3" i="101"/>
  <c r="AB2" i="101"/>
  <c r="T5" i="101"/>
  <c r="T3" i="101"/>
  <c r="AC6" i="101"/>
  <c r="AF6" i="101" s="1"/>
  <c r="AH6" i="101" s="1"/>
  <c r="X2" i="101"/>
  <c r="T6" i="101"/>
  <c r="AC3" i="101"/>
  <c r="AF3" i="101" s="1"/>
  <c r="AH3" i="101" s="1"/>
  <c r="P2" i="101"/>
  <c r="T2" i="101"/>
  <c r="AC7" i="101"/>
  <c r="AF7" i="101" s="1"/>
  <c r="AH7" i="101" s="1"/>
  <c r="AC4" i="101"/>
  <c r="AF4" i="101" s="1"/>
  <c r="AH4" i="101" s="1"/>
  <c r="T7" i="101"/>
  <c r="L3" i="101"/>
  <c r="AC2" i="101"/>
  <c r="AF2" i="101" s="1"/>
  <c r="AH2" i="101" s="1"/>
  <c r="AC4" i="100"/>
  <c r="AF4" i="100" s="1"/>
  <c r="AH4" i="100" s="1"/>
  <c r="AB8" i="100"/>
  <c r="AC5" i="100"/>
  <c r="AF5" i="100" s="1"/>
  <c r="AH5" i="100" s="1"/>
  <c r="AC10" i="100"/>
  <c r="AF10" i="100" s="1"/>
  <c r="AH10" i="100" s="1"/>
  <c r="T8" i="100"/>
  <c r="T6" i="100"/>
  <c r="X5" i="100"/>
  <c r="X8" i="100"/>
  <c r="AC7" i="100"/>
  <c r="AF7" i="100" s="1"/>
  <c r="AH7" i="100" s="1"/>
  <c r="AC9" i="100"/>
  <c r="AF9" i="100" s="1"/>
  <c r="AH9" i="100" s="1"/>
  <c r="P6" i="100"/>
  <c r="L7" i="100"/>
  <c r="AC3" i="100"/>
  <c r="AF3" i="100" s="1"/>
  <c r="AH3" i="100" s="1"/>
  <c r="X2" i="100"/>
  <c r="AB2" i="100"/>
  <c r="AC8" i="100"/>
  <c r="AF8" i="100" s="1"/>
  <c r="AH8" i="100" s="1"/>
  <c r="P8" i="100"/>
  <c r="X6" i="100"/>
  <c r="AC2" i="100"/>
  <c r="AF2" i="100" s="1"/>
  <c r="AH2" i="100" s="1"/>
  <c r="AC6" i="100"/>
  <c r="AF6" i="100" s="1"/>
  <c r="AH6" i="100" s="1"/>
  <c r="L6" i="100"/>
  <c r="P2" i="100"/>
  <c r="T2" i="100"/>
  <c r="AB6" i="100"/>
  <c r="L2" i="100"/>
  <c r="L8" i="100"/>
  <c r="AC3" i="99"/>
  <c r="AF3" i="99" s="1"/>
  <c r="AH3" i="99" s="1"/>
  <c r="X2" i="99"/>
  <c r="L3" i="99"/>
  <c r="AC2" i="99"/>
  <c r="AF2" i="99" s="1"/>
  <c r="AH2" i="99" s="1"/>
  <c r="AI2" i="99" s="1"/>
  <c r="X3" i="98"/>
  <c r="AC3" i="98"/>
  <c r="AF3" i="98" s="1"/>
  <c r="AH3" i="98" s="1"/>
  <c r="AC4" i="98"/>
  <c r="AF4" i="98" s="1"/>
  <c r="AH4" i="98" s="1"/>
  <c r="L3" i="98"/>
  <c r="T2" i="98"/>
  <c r="P2" i="98"/>
  <c r="L4" i="98"/>
  <c r="X4" i="98"/>
  <c r="AC2" i="98"/>
  <c r="AF2" i="98" s="1"/>
  <c r="AH2" i="98" s="1"/>
  <c r="P4" i="98"/>
  <c r="T4" i="97"/>
  <c r="P2" i="97"/>
  <c r="AB5" i="97"/>
  <c r="L4" i="97"/>
  <c r="P5" i="97"/>
  <c r="AC2" i="97"/>
  <c r="AF2" i="97" s="1"/>
  <c r="AH2" i="97" s="1"/>
  <c r="X2" i="97"/>
  <c r="AC6" i="97"/>
  <c r="AF6" i="97" s="1"/>
  <c r="AH6" i="97" s="1"/>
  <c r="X5" i="97"/>
  <c r="X4" i="97"/>
  <c r="AC5" i="97"/>
  <c r="AF5" i="97" s="1"/>
  <c r="AH5" i="97" s="1"/>
  <c r="L2" i="97"/>
  <c r="AC4" i="97"/>
  <c r="AF4" i="97" s="1"/>
  <c r="AH4" i="97" s="1"/>
  <c r="AC2" i="96"/>
  <c r="AF2" i="96" s="1"/>
  <c r="AH2" i="96" s="1"/>
  <c r="AC4" i="96"/>
  <c r="AF4" i="96" s="1"/>
  <c r="AH4" i="96" s="1"/>
  <c r="X3" i="96"/>
  <c r="AB4" i="96"/>
  <c r="AC3" i="96"/>
  <c r="AF3" i="96" s="1"/>
  <c r="AH3" i="96" s="1"/>
  <c r="AI3" i="96" s="1"/>
  <c r="L2" i="96"/>
  <c r="L4" i="96"/>
  <c r="AF2" i="130" l="1"/>
  <c r="AH2" i="130" s="1"/>
  <c r="AI2" i="130" s="1"/>
  <c r="AF5" i="128"/>
  <c r="AH5" i="128" s="1"/>
  <c r="AF2" i="128"/>
  <c r="AH2" i="128" s="1"/>
  <c r="AF2" i="127"/>
  <c r="AH2" i="127" s="1"/>
  <c r="AI2" i="127" s="1"/>
  <c r="AF2" i="125"/>
  <c r="AH2" i="125" s="1"/>
  <c r="AI2" i="125" s="1"/>
  <c r="AF3" i="126"/>
  <c r="AH3" i="126" s="1"/>
  <c r="AF4" i="126"/>
  <c r="AH4" i="126" s="1"/>
  <c r="AI4" i="124"/>
  <c r="AI4" i="121"/>
  <c r="AI7" i="122"/>
  <c r="AI6" i="112"/>
  <c r="AI7" i="118"/>
  <c r="AI4" i="117"/>
  <c r="AI4" i="109"/>
  <c r="AI5" i="109"/>
  <c r="AI7" i="109"/>
  <c r="AI3" i="109"/>
  <c r="AI8" i="109"/>
  <c r="AI3" i="106"/>
  <c r="AI5" i="106"/>
  <c r="AI2" i="103"/>
  <c r="AI5" i="103"/>
  <c r="AI11" i="100"/>
  <c r="AI7" i="100"/>
  <c r="AI5" i="100"/>
  <c r="AI3" i="100"/>
  <c r="AI9" i="100"/>
  <c r="AI10" i="100"/>
  <c r="AI4" i="100"/>
  <c r="AI3" i="102"/>
  <c r="AI4" i="102"/>
  <c r="AI4" i="101"/>
  <c r="AI6" i="101"/>
  <c r="AI5" i="101"/>
  <c r="AI2" i="98"/>
  <c r="AF2" i="132"/>
  <c r="AH2" i="132" s="1"/>
  <c r="AI2" i="132" s="1"/>
  <c r="AF2" i="126"/>
  <c r="AH2" i="126" s="1"/>
  <c r="AI2" i="126" s="1"/>
  <c r="AI5" i="122"/>
  <c r="AI7" i="101"/>
  <c r="AI2" i="120"/>
  <c r="AI3" i="97"/>
  <c r="AI6" i="97"/>
  <c r="AF2" i="131"/>
  <c r="AH2" i="131" s="1"/>
  <c r="AF3" i="131"/>
  <c r="AH3" i="131" s="1"/>
  <c r="AI3" i="131" s="1"/>
  <c r="AF3" i="130"/>
  <c r="AH3" i="130" s="1"/>
  <c r="AI3" i="130" s="1"/>
  <c r="AF2" i="129"/>
  <c r="AH2" i="129" s="1"/>
  <c r="AF3" i="129"/>
  <c r="AH3" i="129" s="1"/>
  <c r="AI3" i="129" s="1"/>
  <c r="AF3" i="128"/>
  <c r="AH3" i="128" s="1"/>
  <c r="AF4" i="128"/>
  <c r="AH4" i="128" s="1"/>
  <c r="AI4" i="128" s="1"/>
  <c r="AI3" i="124"/>
  <c r="AI2" i="124"/>
  <c r="AI2" i="123"/>
  <c r="AI4" i="123"/>
  <c r="AI3" i="123"/>
  <c r="AI5" i="123"/>
  <c r="AI2" i="122"/>
  <c r="AI6" i="122"/>
  <c r="AI4" i="122"/>
  <c r="AI3" i="122"/>
  <c r="AI5" i="121"/>
  <c r="AI8" i="121"/>
  <c r="AI2" i="121"/>
  <c r="AI3" i="121"/>
  <c r="AI12" i="121"/>
  <c r="AI7" i="121"/>
  <c r="AI10" i="121"/>
  <c r="AI6" i="121"/>
  <c r="AI11" i="121"/>
  <c r="AI9" i="121"/>
  <c r="AI6" i="120"/>
  <c r="AI7" i="120"/>
  <c r="AI5" i="120"/>
  <c r="AI3" i="120"/>
  <c r="AI4" i="120"/>
  <c r="AI3" i="119"/>
  <c r="AI4" i="118"/>
  <c r="AI2" i="118"/>
  <c r="AI5" i="118"/>
  <c r="AI3" i="118"/>
  <c r="AI6" i="118"/>
  <c r="AI3" i="117"/>
  <c r="AI2" i="117"/>
  <c r="AI6" i="117"/>
  <c r="AI7" i="117"/>
  <c r="AI5" i="117"/>
  <c r="AI3" i="116"/>
  <c r="AI2" i="116"/>
  <c r="AI7" i="114"/>
  <c r="AI2" i="114"/>
  <c r="AI4" i="114"/>
  <c r="AI6" i="114"/>
  <c r="AI3" i="114"/>
  <c r="AI5" i="114"/>
  <c r="AI4" i="112"/>
  <c r="AI7" i="112"/>
  <c r="AI2" i="112"/>
  <c r="AI8" i="112"/>
  <c r="AI5" i="112"/>
  <c r="AI3" i="112"/>
  <c r="AI4" i="111"/>
  <c r="AI3" i="111"/>
  <c r="AI7" i="111"/>
  <c r="AI2" i="111"/>
  <c r="AI5" i="111"/>
  <c r="AI6" i="111"/>
  <c r="AI9" i="111"/>
  <c r="AI8" i="111"/>
  <c r="AI6" i="109"/>
  <c r="AI2" i="109"/>
  <c r="AI3" i="108"/>
  <c r="AI2" i="107"/>
  <c r="AI4" i="107"/>
  <c r="AI3" i="107"/>
  <c r="AI2" i="105"/>
  <c r="AI3" i="103"/>
  <c r="AI5" i="102"/>
  <c r="AI2" i="102"/>
  <c r="AI2" i="101"/>
  <c r="AI3" i="101"/>
  <c r="AI8" i="100"/>
  <c r="AI2" i="100"/>
  <c r="AI6" i="100"/>
  <c r="AI3" i="99"/>
  <c r="AI3" i="98"/>
  <c r="AI4" i="98"/>
  <c r="AI4" i="97"/>
  <c r="AI5" i="97"/>
  <c r="AI2" i="97"/>
  <c r="AI4" i="96"/>
  <c r="AI2" i="96"/>
  <c r="AI3" i="126" l="1"/>
  <c r="AI4" i="126"/>
  <c r="AI5" i="128"/>
  <c r="AI2" i="128"/>
  <c r="AI3" i="128"/>
  <c r="AI2" i="131"/>
  <c r="AI2" i="129"/>
  <c r="AC11" i="113"/>
  <c r="AF11" i="113" s="1"/>
  <c r="AH11" i="113" s="1"/>
  <c r="AC10" i="113"/>
  <c r="AF10" i="113" s="1"/>
  <c r="AH10" i="113" s="1"/>
  <c r="AC19" i="113"/>
  <c r="AF19" i="113" s="1"/>
  <c r="AH19" i="113" s="1"/>
  <c r="AC8" i="113"/>
  <c r="AF8" i="113" s="1"/>
  <c r="AH8" i="113" s="1"/>
  <c r="AI8" i="113" s="1"/>
  <c r="AC14" i="113"/>
  <c r="AF14" i="113" s="1"/>
  <c r="AH14" i="113" s="1"/>
  <c r="AC2" i="113"/>
  <c r="AF2" i="113" s="1"/>
  <c r="AH2" i="113" s="1"/>
  <c r="AF3" i="113"/>
  <c r="AH3" i="113" s="1"/>
  <c r="AC3" i="113"/>
  <c r="AC16" i="113"/>
  <c r="AF16" i="113" s="1"/>
  <c r="AH16" i="113" s="1"/>
  <c r="AC13" i="113"/>
  <c r="AF13" i="113" s="1"/>
  <c r="AH13" i="113" s="1"/>
  <c r="L7" i="113"/>
  <c r="L10" i="113"/>
  <c r="L17" i="113"/>
  <c r="L14" i="113"/>
  <c r="L9" i="113"/>
  <c r="L16" i="113"/>
  <c r="L15" i="113"/>
  <c r="L2" i="113"/>
  <c r="L5" i="113"/>
  <c r="L8" i="113"/>
  <c r="L18" i="113"/>
  <c r="L11" i="113"/>
  <c r="L4" i="113"/>
  <c r="L19" i="113"/>
  <c r="L12" i="113"/>
  <c r="L3" i="113"/>
  <c r="L6" i="113"/>
  <c r="L13" i="113"/>
  <c r="AI14" i="113" l="1"/>
  <c r="AI10" i="113"/>
  <c r="AI3" i="113"/>
  <c r="AI2" i="113"/>
  <c r="AI19" i="113"/>
  <c r="AI11" i="113"/>
  <c r="AI18" i="113"/>
  <c r="AI17" i="113"/>
  <c r="AI6" i="113"/>
  <c r="AI13" i="113"/>
  <c r="AI15" i="113"/>
  <c r="AI5" i="113"/>
  <c r="AI7" i="113"/>
  <c r="AI9" i="113"/>
  <c r="AI4" i="113"/>
  <c r="AI12" i="113"/>
  <c r="AI16" i="11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48F13F2-F874-46B0-9687-3D9AC325828A}" keepAlive="1" name="Query - Query ALL" description="Connection to the 'Query ALL' query in the workbook." type="5" refreshedVersion="8" background="1" saveData="1">
    <dbPr connection="Provider=Microsoft.Mashup.OleDb.1;Data Source=$Workbook$;Location=&quot;Query ALL&quot;;Extended Properties=&quot;&quot;" command="SELECT * FROM [Query ALL]"/>
  </connection>
</connections>
</file>

<file path=xl/sharedStrings.xml><?xml version="1.0" encoding="utf-8"?>
<sst xmlns="http://schemas.openxmlformats.org/spreadsheetml/2006/main" count="4318" uniqueCount="424">
  <si>
    <t>Lane</t>
  </si>
  <si>
    <t>Level</t>
  </si>
  <si>
    <t>Athlete</t>
  </si>
  <si>
    <t>Club</t>
  </si>
  <si>
    <t>Country</t>
  </si>
  <si>
    <t>Judge 1
Tamara Beljak</t>
  </si>
  <si>
    <t>J1 (-)</t>
  </si>
  <si>
    <t>J1 (Rank)</t>
  </si>
  <si>
    <t>Judge 2
Tihomir Bendelja</t>
  </si>
  <si>
    <t>J2 (-)</t>
  </si>
  <si>
    <t>J2 (Rank)</t>
  </si>
  <si>
    <t>J3 (-)</t>
  </si>
  <si>
    <t>J3 (Rank)</t>
  </si>
  <si>
    <t>J4 (-)</t>
  </si>
  <si>
    <t>J4 (Rank)</t>
  </si>
  <si>
    <t>Avg</t>
  </si>
  <si>
    <t>Total</t>
  </si>
  <si>
    <t>FINAL SCORE</t>
  </si>
  <si>
    <t>Rank</t>
  </si>
  <si>
    <t>Start No.</t>
  </si>
  <si>
    <t>Category</t>
  </si>
  <si>
    <t>Age
Division</t>
  </si>
  <si>
    <t>Judge 4
Bernard Barač</t>
  </si>
  <si>
    <t>CADET</t>
  </si>
  <si>
    <t>MAŽORETNA IN TWIRLING SKUPINA OBČINE PESNICA</t>
  </si>
  <si>
    <t>Slovenia</t>
  </si>
  <si>
    <t>Group</t>
  </si>
  <si>
    <t>JUNIOR</t>
  </si>
  <si>
    <t>Croatia</t>
  </si>
  <si>
    <t>SENIOR</t>
  </si>
  <si>
    <t>CHILDREN</t>
  </si>
  <si>
    <t>TWIRLING KLUB ANINIH MAŽORETK</t>
  </si>
  <si>
    <t>TWIRLING IN MAŽORETNI KLUB LUCIJA</t>
  </si>
  <si>
    <t>Solo</t>
  </si>
  <si>
    <t>Low</t>
  </si>
  <si>
    <t>High</t>
  </si>
  <si>
    <t>Final Total</t>
  </si>
  <si>
    <t>J2 TOTAL</t>
  </si>
  <si>
    <t>J3 TOTAL</t>
  </si>
  <si>
    <t>J4 TOTAL</t>
  </si>
  <si>
    <t>J1 TOTAL</t>
  </si>
  <si>
    <t>Category Type</t>
  </si>
  <si>
    <t>Floor 1 Baton</t>
  </si>
  <si>
    <t>Intermediate</t>
  </si>
  <si>
    <t>Kristina Baloh Stojčovski</t>
  </si>
  <si>
    <t>MAŽORETNI IN TWIRLING KLUB KRANJ</t>
  </si>
  <si>
    <t>Klara Nagode</t>
  </si>
  <si>
    <t>TWIRLING KLUB LOGAŠKIH MAŽORET</t>
  </si>
  <si>
    <t>Klara Gorenszach</t>
  </si>
  <si>
    <t>TWIRLING-MAŽORETNO DRUŠTVO NOVA GORICA</t>
  </si>
  <si>
    <t>Nina Ladava</t>
  </si>
  <si>
    <t>Beginner</t>
  </si>
  <si>
    <t>Sara Žabar</t>
  </si>
  <si>
    <t>Mateja Kruljc</t>
  </si>
  <si>
    <t>Lorena Markovič</t>
  </si>
  <si>
    <t>Julija Vogrič</t>
  </si>
  <si>
    <t>Advanced</t>
  </si>
  <si>
    <t>Brina Gasser Nežič</t>
  </si>
  <si>
    <t>Michele Malovič</t>
  </si>
  <si>
    <t>Sara Janjilović</t>
  </si>
  <si>
    <t>Zala Plesničar</t>
  </si>
  <si>
    <t>Ela Nina Kralj</t>
  </si>
  <si>
    <t>Teja Cotič</t>
  </si>
  <si>
    <t>MAŽORETNA IN TWIRLING SKUPINA PRVAČINA</t>
  </si>
  <si>
    <t>Lia Nardin Bizjak</t>
  </si>
  <si>
    <t>Aneja Juretič</t>
  </si>
  <si>
    <t>Gaja Mivec</t>
  </si>
  <si>
    <t>MAŽORETNI TWIRLING IN PLESNI KLUB MACE</t>
  </si>
  <si>
    <t>Iza Berzelak</t>
  </si>
  <si>
    <t>Natali Vitez</t>
  </si>
  <si>
    <t>Neja Kuzma</t>
  </si>
  <si>
    <t>Urša Horvat</t>
  </si>
  <si>
    <t>Iris Juričev</t>
  </si>
  <si>
    <t>TWIRLING KLUB VODICE</t>
  </si>
  <si>
    <t>Taja Govekar</t>
  </si>
  <si>
    <t>Professional</t>
  </si>
  <si>
    <t>Floor 2 Batons</t>
  </si>
  <si>
    <t>Lower Level</t>
  </si>
  <si>
    <t>Upper Level</t>
  </si>
  <si>
    <t>Tim Udovič</t>
  </si>
  <si>
    <t>Jerneja Bavec</t>
  </si>
  <si>
    <t>Tinkara Kranjec</t>
  </si>
  <si>
    <t>Solo Dance</t>
  </si>
  <si>
    <t>Laura Harej</t>
  </si>
  <si>
    <t>Ana Grbec</t>
  </si>
  <si>
    <t>Ajda Perko</t>
  </si>
  <si>
    <t>TWIRLING, PLESNI IN MAŽORETNI KLUB LENART</t>
  </si>
  <si>
    <t>Gaja Čendak</t>
  </si>
  <si>
    <t>Nalia Žigon</t>
  </si>
  <si>
    <t>Maja Bešvir</t>
  </si>
  <si>
    <t>Zoja Djurašinović</t>
  </si>
  <si>
    <t>Ana Omejc</t>
  </si>
  <si>
    <t>Lana Nardin Bizjak</t>
  </si>
  <si>
    <t>Taniša Gabrovec</t>
  </si>
  <si>
    <t>Julija Neuvirt</t>
  </si>
  <si>
    <t>Tinka Hladnik</t>
  </si>
  <si>
    <t>Ula Levac Stančič</t>
  </si>
  <si>
    <t>Taja Krmec</t>
  </si>
  <si>
    <t>Eva Steinbacher</t>
  </si>
  <si>
    <t>Maša Slabe</t>
  </si>
  <si>
    <t>Single Level</t>
  </si>
  <si>
    <t>Maja Ivezić</t>
  </si>
  <si>
    <t>Neža Neuvirt</t>
  </si>
  <si>
    <t>Zarja Perko</t>
  </si>
  <si>
    <t>Ula Stojanović Bizjak</t>
  </si>
  <si>
    <t>Nina Galamić</t>
  </si>
  <si>
    <t>Lana Memon</t>
  </si>
  <si>
    <t>Eliza Skenderović</t>
  </si>
  <si>
    <t>Elena Vragović</t>
  </si>
  <si>
    <t>TWIRLING KLUB KRAPINA</t>
  </si>
  <si>
    <t>Eneja Žerjal</t>
  </si>
  <si>
    <t>Anja Radovac</t>
  </si>
  <si>
    <t>Marija Skočić</t>
  </si>
  <si>
    <t>Taja Pangerc</t>
  </si>
  <si>
    <t>Marjeta Kešnar</t>
  </si>
  <si>
    <t>Nika Bajec</t>
  </si>
  <si>
    <t>Duet Dance</t>
  </si>
  <si>
    <t>Twirling Team</t>
  </si>
  <si>
    <t>Twirling Group</t>
  </si>
  <si>
    <t>Judge 3
Tea Softić</t>
  </si>
  <si>
    <t>Judge 5
Barbara Novina</t>
  </si>
  <si>
    <t>J5 (-)</t>
  </si>
  <si>
    <t>J5 TOTAL</t>
  </si>
  <si>
    <t>J5 (Rank)</t>
  </si>
  <si>
    <t>Single level</t>
  </si>
  <si>
    <t>Sofija Bajec</t>
  </si>
  <si>
    <t>Mija Žabar</t>
  </si>
  <si>
    <t>Ela Stella Vitez</t>
  </si>
  <si>
    <t>Alen Skenderović</t>
  </si>
  <si>
    <t>Chanel Abram</t>
  </si>
  <si>
    <t>Sara Bajec</t>
  </si>
  <si>
    <t>Mija Mihelj</t>
  </si>
  <si>
    <t>Petra Mrković</t>
  </si>
  <si>
    <t>Teira Rupena</t>
  </si>
  <si>
    <t>Lucija Skočić</t>
  </si>
  <si>
    <t>Marija Španja</t>
  </si>
  <si>
    <t>Neža Markočič</t>
  </si>
  <si>
    <t>Lucija Crljenak</t>
  </si>
  <si>
    <t>Lucija Crnjak</t>
  </si>
  <si>
    <t>Špela Kovačič</t>
  </si>
  <si>
    <t>Urška Pelko</t>
  </si>
  <si>
    <t>Lower level</t>
  </si>
  <si>
    <t>Upper level</t>
  </si>
  <si>
    <t>Karolina Čotar</t>
  </si>
  <si>
    <t>Gašper Purgaj</t>
  </si>
  <si>
    <t>Jerneja Vogrič</t>
  </si>
  <si>
    <t>Neža Bavčar</t>
  </si>
  <si>
    <t>Lara Pečkaj</t>
  </si>
  <si>
    <t>Veronika Bavčar Šatej</t>
  </si>
  <si>
    <t>Mia Martinjaš</t>
  </si>
  <si>
    <t>Nika Mubi</t>
  </si>
  <si>
    <t>Yuna Žust</t>
  </si>
  <si>
    <t>Eva Gabrijelčič</t>
  </si>
  <si>
    <t>Katarina Zajec</t>
  </si>
  <si>
    <t>Taja Premrl</t>
  </si>
  <si>
    <t>Katarina Čurin</t>
  </si>
  <si>
    <t>Taja Gubanec</t>
  </si>
  <si>
    <t>Hanah Ela Žauhar</t>
  </si>
  <si>
    <t>Tina Kobal</t>
  </si>
  <si>
    <t>Manca Dovgan</t>
  </si>
  <si>
    <t>Gabriela Markežič Požar</t>
  </si>
  <si>
    <t>Tia Perko</t>
  </si>
  <si>
    <t>Ela Kramberger</t>
  </si>
  <si>
    <t>Maruša Dečman</t>
  </si>
  <si>
    <t>Eva Tišler</t>
  </si>
  <si>
    <t>Leyla Eminović</t>
  </si>
  <si>
    <t>Michele Malović</t>
  </si>
  <si>
    <t>Nuša Nared</t>
  </si>
  <si>
    <t>Teja Lorber</t>
  </si>
  <si>
    <t>Barbara Frankol</t>
  </si>
  <si>
    <t>Nives Kranjčec</t>
  </si>
  <si>
    <t>Frida Nared</t>
  </si>
  <si>
    <t>Gaja Novaković</t>
  </si>
  <si>
    <t>Manca Sofija Medvedc-Maša Zorn</t>
  </si>
  <si>
    <t>Eneja Muršec-Alja Kaučič</t>
  </si>
  <si>
    <t>Minea Vogrin-Lejla Morina</t>
  </si>
  <si>
    <t>Pia Dacar-Brina Mugerli</t>
  </si>
  <si>
    <t>Mia Komac-Nina Nabergoj</t>
  </si>
  <si>
    <t>Neža Božnar-Klara Peternel</t>
  </si>
  <si>
    <t>Daša Bizovičar-Taniša Gabrovec</t>
  </si>
  <si>
    <t>Laura Harej-Meta Gabrijelčič</t>
  </si>
  <si>
    <t>Neža Neuvirt-Zarja Perko</t>
  </si>
  <si>
    <t xml:space="preserve">Ema Miklavčič-Lana Nardin Bizjak </t>
  </si>
  <si>
    <t>Sara Radovanović-Lina Kop</t>
  </si>
  <si>
    <t>Brina Kenda-Mia Martinjaš</t>
  </si>
  <si>
    <t>Ana Kramberger-Tiana Marija Nikl</t>
  </si>
  <si>
    <t>Ula Stojanović Bizjak-Lara Mugerli</t>
  </si>
  <si>
    <t>Chanel Abram-Julija Vogrič</t>
  </si>
  <si>
    <t>Ajda Perko-Julija Neuvirt</t>
  </si>
  <si>
    <t>Neža Bavčar-Gala Martina Malik</t>
  </si>
  <si>
    <t>Duet</t>
  </si>
  <si>
    <t>Gabriela Markežič Požar-Tina Kobal</t>
  </si>
  <si>
    <t>Eva Steinbacher-Gaja Čendak</t>
  </si>
  <si>
    <t>Marija Španja-Petra Mrković</t>
  </si>
  <si>
    <t>Aneja Juretič-Natali Vitez</t>
  </si>
  <si>
    <t>Zoja Djurašinović-Maša Slabe</t>
  </si>
  <si>
    <t>Lana Kukolaj-Simona Škulj</t>
  </si>
  <si>
    <t>Lena Ledinko-Nika Miličević</t>
  </si>
  <si>
    <t>TWIRLING KLUB LUDBREG</t>
  </si>
  <si>
    <t>Ula Levac Stančič-Teira Rupena</t>
  </si>
  <si>
    <t>Lea Bendelja-Ena Čižmešija</t>
  </si>
  <si>
    <t>Gaja Mivec-Nuša Nared</t>
  </si>
  <si>
    <t>Marija Skočić-Iris Juričev</t>
  </si>
  <si>
    <t>Naja Kandžič-Erin Pavčič</t>
  </si>
  <si>
    <t>Tajda Padovnik-Tia Perko</t>
  </si>
  <si>
    <t>Name</t>
  </si>
  <si>
    <t>Twirling_Solo_F1B_Children</t>
  </si>
  <si>
    <t>Twirling_Solo_F1B_Cadet_Beginner</t>
  </si>
  <si>
    <t>Twirling_Solo_F1B_Cadet_Intermediate</t>
  </si>
  <si>
    <t>Twirling_Solo_F1B_Junior_Beginner</t>
  </si>
  <si>
    <t>Twirling_Solo_F1B_Junior_Intermediate</t>
  </si>
  <si>
    <t>Twirling_Solo_F1B_Junior_Advanced</t>
  </si>
  <si>
    <t>Twirling_Solo_F1B_Senior_Intermediate</t>
  </si>
  <si>
    <t>Twirling_Solo_F1B_Senior_Advanced</t>
  </si>
  <si>
    <t>Twirling_Solo_F2B_Cadet_Lower_Level</t>
  </si>
  <si>
    <t>Twirling_Solo_F2B_Junior_Lower_Level</t>
  </si>
  <si>
    <t>Twirling_Solo_F2B_Junior_Upper_Level</t>
  </si>
  <si>
    <t>Twirling_Solo_F2B_Senior_Lower_Level</t>
  </si>
  <si>
    <t>Twirling_Solo_SoloDance_Children</t>
  </si>
  <si>
    <t>Twirling_Solo_SoloDance_Cadet_Beginner</t>
  </si>
  <si>
    <t>Twirling_Solo_SoloDance_Cadet_Intermediate</t>
  </si>
  <si>
    <t>Twirling_Solo_SoloDance_Junior_Beginner</t>
  </si>
  <si>
    <t>Twirling_Solo_SoloDance_Junior_Intermediate</t>
  </si>
  <si>
    <t>Twirling_Solo_SoloDance_Junior_Advanced</t>
  </si>
  <si>
    <t>Twirling_Solo_SoloDance_Junior_Professional</t>
  </si>
  <si>
    <t>Twirling_Solo_SoloDance_Senior_Beginner</t>
  </si>
  <si>
    <t>Twirling_Solo_SoloDance_Senior_Intermediate</t>
  </si>
  <si>
    <t>Twirling_Solo_SoloDance_Senior_Advanced</t>
  </si>
  <si>
    <t>Twirling_Solo_SoloDance_Senior_Professional</t>
  </si>
  <si>
    <t>Twirling_Duet_DuetDance_Children</t>
  </si>
  <si>
    <t>Twirling_Duet_DuetDance_Cadet_Lower_Level</t>
  </si>
  <si>
    <t>Twirling_Duet_DuetDance_Junior_Lower_Level</t>
  </si>
  <si>
    <t>Twirling_Duet_DuetDance_Junior_Upper_Level</t>
  </si>
  <si>
    <t>Twirling_Duet_DuetDance_Senior_Lower_Level</t>
  </si>
  <si>
    <t>Twirling_Group_TwirlingTeam_Children</t>
  </si>
  <si>
    <t>Twirling_Group_TwirlingTeam_Cadet_Lower_Level</t>
  </si>
  <si>
    <t>Twirling_Group_TwirlingTeam_Cadet_Upper_Level</t>
  </si>
  <si>
    <t>Twirling_Group_TwirlingTeam_Junior_Lower_Level</t>
  </si>
  <si>
    <t>Twirling_Group_TwirlingTeam_Senior_Lower_Level</t>
  </si>
  <si>
    <t>Twirling_Group_TwirlingGroup_Children</t>
  </si>
  <si>
    <t>Twirling_Group_TwirlingGroup_Cadet</t>
  </si>
  <si>
    <t>Twirling_Group_TwirlingGroup_Senior</t>
  </si>
  <si>
    <t>Row Labels</t>
  </si>
  <si>
    <t>Grand Total</t>
  </si>
  <si>
    <t>CONSOLIDATED</t>
  </si>
  <si>
    <t>Floor 1 Baton CHILDREN Single level-Sofija Bajec: TWIRLING-MAŽORETNO DRUŠTVO NOVA GORICA, Slovenia</t>
  </si>
  <si>
    <t>Floor 1 Baton CHILDREN Single level-Mija Žabar: TWIRLING-MAŽORETNO DRUŠTVO NOVA GORICA, Slovenia</t>
  </si>
  <si>
    <t>Floor 1 Baton CHILDREN Single level-Ela Stella Vitez: TWIRLING-MAŽORETNO DRUŠTVO NOVA GORICA, Slovenia</t>
  </si>
  <si>
    <t>Floor 1 Baton CADET Beginner-Alen Skenderović: TWIRLING IN MAŽORETNI KLUB LUCIJA, Slovenia</t>
  </si>
  <si>
    <t>Floor 1 Baton CADET Beginner-Lorena Markovič: MAŽORETNA IN TWIRLING SKUPINA OBČINE PESNICA, Slovenia</t>
  </si>
  <si>
    <t>Floor 1 Baton CADET Beginner-Chanel Abram: TWIRLING-MAŽORETNO DRUŠTVO NOVA GORICA, Slovenia</t>
  </si>
  <si>
    <t>Floor 1 Baton CADET Beginner-Julija Vogrič: TWIRLING-MAŽORETNO DRUŠTVO NOVA GORICA, Slovenia</t>
  </si>
  <si>
    <t>Floor 1 Baton CADET Beginner-Sara Bajec: TWIRLING-MAŽORETNO DRUŠTVO NOVA GORICA, Slovenia</t>
  </si>
  <si>
    <t>Floor 1 Baton CADET Intermediate-Klara Gorenszach: TWIRLING-MAŽORETNO DRUŠTVO NOVA GORICA, Slovenia</t>
  </si>
  <si>
    <t>Floor 1 Baton CADET Intermediate-Kristina Baloh Stojčovski: MAŽORETNI IN TWIRLING KLUB KRANJ, Slovenia</t>
  </si>
  <si>
    <t>Floor 1 Baton CADET Intermediate-Klara Nagode: TWIRLING KLUB LOGAŠKIH MAŽORET, Slovenia</t>
  </si>
  <si>
    <t>Floor 1 Baton JUNIOR Beginner-Ela Nina Kralj: MAŽORETNA IN TWIRLING SKUPINA OBČINE PESNICA, Slovenia</t>
  </si>
  <si>
    <t>Floor 1 Baton JUNIOR Beginner-Mateja Kruljc: TWIRLING-MAŽORETNO DRUŠTVO NOVA GORICA, Slovenia</t>
  </si>
  <si>
    <t>Floor 1 Baton JUNIOR Intermediate-Mija Mihelj: TWIRLING-MAŽORETNO DRUŠTVO NOVA GORICA, Slovenia</t>
  </si>
  <si>
    <t>Floor 1 Baton JUNIOR Intermediate-Zoja Djurašinović: TWIRLING KLUB LOGAŠKIH MAŽORET, Slovenia</t>
  </si>
  <si>
    <t>Floor 1 Baton JUNIOR Intermediate-Aneja Juretič: TWIRLING-MAŽORETNO DRUŠTVO NOVA GORICA, Slovenia</t>
  </si>
  <si>
    <t>Floor 1 Baton JUNIOR Intermediate-Petra Mrković: TWIRLING KLUB VODICE, Croatia</t>
  </si>
  <si>
    <t>Floor 1 Baton JUNIOR Intermediate-Eliza Skenderović: TWIRLING IN MAŽORETNI KLUB LUCIJA, Slovenia</t>
  </si>
  <si>
    <t>Floor 1 Baton JUNIOR Intermediate-Sara Žabar: TWIRLING-MAŽORETNO DRUŠTVO NOVA GORICA, Slovenia</t>
  </si>
  <si>
    <t>Floor 1 Baton JUNIOR Intermediate-Teira Rupena: TWIRLING IN MAŽORETNI KLUB LUCIJA, Slovenia</t>
  </si>
  <si>
    <t>Floor 1 Baton JUNIOR Intermediate-Lucija Skočić: TWIRLING KLUB VODICE, Croatia</t>
  </si>
  <si>
    <t>Floor 1 Baton JUNIOR Intermediate-Neja Kuzma: MAŽORETNI IN TWIRLING KLUB KRANJ, Slovenia</t>
  </si>
  <si>
    <t>Floor 1 Baton JUNIOR Intermediate-Marija Španja: TWIRLING KLUB VODICE, Croatia</t>
  </si>
  <si>
    <t>Floor 1 Baton JUNIOR Advanced-Sara Janjilović: TWIRLING-MAŽORETNO DRUŠTVO NOVA GORICA, Slovenia</t>
  </si>
  <si>
    <t>Floor 1 Baton JUNIOR Advanced-Michele Malovič: TWIRLING-MAŽORETNO DRUŠTVO NOVA GORICA, Slovenia</t>
  </si>
  <si>
    <t>Floor 1 Baton JUNIOR Advanced-Natali Vitez: TWIRLING-MAŽORETNO DRUŠTVO NOVA GORICA, Slovenia</t>
  </si>
  <si>
    <t>Floor 1 Baton JUNIOR Advanced-Iza Berzelak: TWIRLING KLUB LOGAŠKIH MAŽORET, Slovenia</t>
  </si>
  <si>
    <t>Floor 1 Baton JUNIOR Advanced-Nina Ladava: TWIRLING-MAŽORETNO DRUŠTVO NOVA GORICA, Slovenia</t>
  </si>
  <si>
    <t>Floor 1 Baton JUNIOR Advanced-Brina Gasser Nežič: TWIRLING KLUB LOGAŠKIH MAŽORET, Slovenia</t>
  </si>
  <si>
    <t>Floor 1 Baton SENIOR Intermediate-Taja Govekar: TWIRLING KLUB LOGAŠKIH MAŽORET, Slovenia</t>
  </si>
  <si>
    <t>Floor 1 Baton SENIOR Intermediate-Neža Markočič: TWIRLING-MAŽORETNO DRUŠTVO NOVA GORICA, Slovenia</t>
  </si>
  <si>
    <t>Floor 1 Baton SENIOR Intermediate-Lucija Crljenak: TWIRLING KLUB VODICE, Croatia</t>
  </si>
  <si>
    <t>Floor 1 Baton SENIOR Intermediate-Lucija Crnjak: TWIRLING KLUB VODICE, Croatia</t>
  </si>
  <si>
    <t>Floor 1 Baton SENIOR Advanced-Špela Kovačič: TWIRLING, PLESNI IN MAŽORETNI KLUB LENART, Slovenia</t>
  </si>
  <si>
    <t>Floor 1 Baton SENIOR Advanced-Iris Juričev: TWIRLING KLUB VODICE, Croatia</t>
  </si>
  <si>
    <t>Floor 1 Baton SENIOR Advanced-Marija Skočić: TWIRLING KLUB VODICE, Croatia</t>
  </si>
  <si>
    <t>Floor 1 Baton SENIOR Advanced-Urška Pelko: TWIRLING, PLESNI IN MAŽORETNI KLUB LENART, Slovenia</t>
  </si>
  <si>
    <t>Floor 2 Batons CADET Lower Level-Klara Gorenszach: TWIRLING-MAŽORETNO DRUŠTVO NOVA GORICA, Slovenia</t>
  </si>
  <si>
    <t>Floor 2 Batons JUNIOR Lower level-Gaja Mivec: MAŽORETNI TWIRLING IN PLESNI KLUB MACE, Slovenia</t>
  </si>
  <si>
    <t>Floor 2 Batons JUNIOR Lower level-Nina Ladava: TWIRLING-MAŽORETNO DRUŠTVO NOVA GORICA, Slovenia</t>
  </si>
  <si>
    <t>Floor 2 Batons JUNIOR Lower level-Mija Mihelj: TWIRLING-MAŽORETNO DRUŠTVO NOVA GORICA, Slovenia</t>
  </si>
  <si>
    <t>Floor 2 Batons JUNIOR Lower level-Aneja Juretič: TWIRLING-MAŽORETNO DRUŠTVO NOVA GORICA, Slovenia</t>
  </si>
  <si>
    <t>Floor 2 Batons JUNIOR Upper level-Sara Janjilović: TWIRLING-MAŽORETNO DRUŠTVO NOVA GORICA, Slovenia</t>
  </si>
  <si>
    <t>Floor 2 Batons JUNIOR Upper level-Michele Malovič: TWIRLING-MAŽORETNO DRUŠTVO NOVA GORICA, Slovenia</t>
  </si>
  <si>
    <t>Floor 2 Batons JUNIOR Upper level-Natali Vitez: TWIRLING-MAŽORETNO DRUŠTVO NOVA GORICA, Slovenia</t>
  </si>
  <si>
    <t>Floor 2 Batons SENIOR Lower level-Jerneja Bavec: MAŽORETNI TWIRLING IN PLESNI KLUB MACE, Slovenia</t>
  </si>
  <si>
    <t>Floor 2 Batons SENIOR Lower level-Tinkara Kranjec: MAŽORETNI TWIRLING IN PLESNI KLUB MACE, Slovenia</t>
  </si>
  <si>
    <t>Solo Dance CHILDREN Single level-Mija Žabar: TWIRLING-MAŽORETNO DRUŠTVO NOVA GORICA, Slovenia</t>
  </si>
  <si>
    <t>Solo Dance CHILDREN Single level-Sofija Bajec: TWIRLING-MAŽORETNO DRUŠTVO NOVA GORICA, Slovenia</t>
  </si>
  <si>
    <t>Solo Dance CHILDREN Single level-Karolina Čotar: MAŽORETNA IN TWIRLING SKUPINA PRVAČINA, Slovenia</t>
  </si>
  <si>
    <t>Solo Dance CHILDREN Single level-Ela Stella Vitez: TWIRLING-MAŽORETNO DRUŠTVO NOVA GORICA, Slovenia</t>
  </si>
  <si>
    <t>Solo Dance CHILDREN Single level-Gašper Purgaj: TWIRLING, PLESNI IN MAŽORETNI KLUB LENART, Slovenia</t>
  </si>
  <si>
    <t>Solo Dance CHILDREN Single level-Jerneja Vogrič: TWIRLING-MAŽORETNO DRUŠTVO NOVA GORICA, Slovenia</t>
  </si>
  <si>
    <t>Solo Dance CHILDREN Single level-Neža Bavčar: MAŽORETNA IN TWIRLING SKUPINA PRVAČINA, Slovenia</t>
  </si>
  <si>
    <t>Solo Dance CADET Beginner-Maja Ivezić: TWIRLING IN MAŽORETNI KLUB LUCIJA, Slovenia</t>
  </si>
  <si>
    <t>Solo Dance CADET Beginner-Neža Neuvirt: TWIRLING, PLESNI IN MAŽORETNI KLUB LENART, Slovenia</t>
  </si>
  <si>
    <t>Solo Dance CADET Beginner-Lara Pečkaj: TWIRLING KLUB LOGAŠKIH MAŽORET, Slovenia</t>
  </si>
  <si>
    <t>Solo Dance CADET Beginner-Taniša Gabrovec: MAŽORETNI IN TWIRLING KLUB KRANJ, Slovenia</t>
  </si>
  <si>
    <t>Solo Dance CADET Beginner-Ana Omejc: MAŽORETNI IN TWIRLING KLUB KRANJ, Slovenia</t>
  </si>
  <si>
    <t>Solo Dance CADET Beginner-Veronika Bavčar Šatej: MAŽORETNA IN TWIRLING SKUPINA PRVAČINA, Slovenia</t>
  </si>
  <si>
    <t>Solo Dance CADET Beginner-Mia Martinjaš: TWIRLING IN MAŽORETNI KLUB LUCIJA, Slovenia</t>
  </si>
  <si>
    <t>Solo Dance CADET Beginner-Nika Mubi: MAŽORETNI IN TWIRLING KLUB KRANJ, Slovenia</t>
  </si>
  <si>
    <t>Solo Dance CADET Beginner-Yuna Žust: TWIRLING KLUB LOGAŠKIH MAŽORET, Slovenia</t>
  </si>
  <si>
    <t>Solo Dance CADET Beginner-Lana Nardin Bizjak: MAŽORETNA IN TWIRLING SKUPINA PRVAČINA, Slovenia</t>
  </si>
  <si>
    <t>Solo Dance CADET Beginner-Alen Skenderović: TWIRLING IN MAŽORETNI KLUB LUCIJA, Slovenia</t>
  </si>
  <si>
    <t>Solo Dance CADET Beginner-Eva Gabrijelčič: TWIRLING-MAŽORETNO DRUŠTVO NOVA GORICA, Slovenia</t>
  </si>
  <si>
    <t>Solo Dance CADET Beginner-Zarja Perko: TWIRLING, PLESNI IN MAŽORETNI KLUB LENART, Slovenia</t>
  </si>
  <si>
    <t>Solo Dance CADET Beginner-Katarina Zajec: MAŽORETNI IN TWIRLING KLUB KRANJ, Slovenia</t>
  </si>
  <si>
    <t>Solo Dance CADET Beginner-Taja Premrl: MAŽORETNA IN TWIRLING SKUPINA PRVAČINA, Slovenia</t>
  </si>
  <si>
    <t>Solo Dance CADET Beginner-Laura Harej: MAŽORETNA IN TWIRLING SKUPINA PRVAČINA, Slovenia</t>
  </si>
  <si>
    <t>Solo Dance CADET Beginner-Katarina Čurin: TWIRLING IN MAŽORETNI KLUB LUCIJA, Slovenia</t>
  </si>
  <si>
    <t>Solo Dance CADET Beginner-Taja Gubanec: TWIRLING KLUB LOGAŠKIH MAŽORET, Slovenia</t>
  </si>
  <si>
    <t>Solo Dance CADET Beginner-Nalia Žigon: MAŽORETNA IN TWIRLING SKUPINA PRVAČINA, Slovenia</t>
  </si>
  <si>
    <t>Solo Dance CADET Beginner-Ula Stojanović Bizjak: MAŽORETNI IN TWIRLING KLUB KRANJ, Slovenia</t>
  </si>
  <si>
    <t>Solo Dance CADET Intermediate-Ajda Perko: TWIRLING, PLESNI IN MAŽORETNI KLUB LENART, Slovenia</t>
  </si>
  <si>
    <t>Solo Dance CADET Intermediate-Ana Grbec: TWIRLING KLUB LOGAŠKIH MAŽORET, Slovenia</t>
  </si>
  <si>
    <t>Solo Dance CADET Intermediate-Taja Krmec: MAŽORETNI IN TWIRLING KLUB KRANJ, Slovenia</t>
  </si>
  <si>
    <t>Solo Dance CADET Intermediate-Kristina Baloh Stojčovski: MAŽORETNI IN TWIRLING KLUB KRANJ, Slovenia</t>
  </si>
  <si>
    <t>Solo Dance CADET Intermediate-Hanah Ela Žauhar: TWIRLING KLUB KRAPINA, Croatia</t>
  </si>
  <si>
    <t>Solo Dance CADET Intermediate-Klara Nagode: TWIRLING KLUB LOGAŠKIH MAŽORET, Slovenia</t>
  </si>
  <si>
    <t>Solo Dance CADET Intermediate-Klara Gorenszach: TWIRLING-MAŽORETNO DRUŠTVO NOVA GORICA, Slovenia</t>
  </si>
  <si>
    <t>Solo Dance CADET Intermediate-Julija Neuvirt: TWIRLING, PLESNI IN MAŽORETNI KLUB LENART, Slovenia</t>
  </si>
  <si>
    <t>Solo Dance JUNIOR Beginner-Tina Kobal: TWIRLING IN MAŽORETNI KLUB LUCIJA, Slovenia</t>
  </si>
  <si>
    <t>Solo Dance JUNIOR Beginner-Manca Dovgan: MAŽORETNA IN TWIRLING SKUPINA PRVAČINA, Slovenia</t>
  </si>
  <si>
    <t>Solo Dance JUNIOR Beginner-Gabriela Markežič Požar: TWIRLING IN MAŽORETNI KLUB LUCIJA, Slovenia</t>
  </si>
  <si>
    <t>Solo Dance JUNIOR Beginner-Mateja Kruljc: TWIRLING-MAŽORETNO DRUŠTVO NOVA GORICA, Slovenia</t>
  </si>
  <si>
    <t>Solo Dance JUNIOR Beginner-Teja Cotič: MAŽORETNA IN TWIRLING SKUPINA PRVAČINA, Slovenia</t>
  </si>
  <si>
    <t>Solo Dance JUNIOR Beginner-Tia Perko: TWIRLING KLUB ANINIH MAŽORETK, Slovenia</t>
  </si>
  <si>
    <t>Solo Dance JUNIOR Beginner-Ela Kramberger: TWIRLING KLUB ANINIH MAŽORETK, Slovenia</t>
  </si>
  <si>
    <t>Solo Dance JUNIOR Intermediate-Eva Steinbacher: TWIRLING IN MAŽORETNI KLUB LUCIJA, Slovenia</t>
  </si>
  <si>
    <t>Solo Dance JUNIOR Intermediate-Maruša Dečman: TWIRLING KLUB LOGAŠKIH MAŽORET, Slovenia</t>
  </si>
  <si>
    <t>Solo Dance JUNIOR Intermediate-Zala Plesničar: TWIRLING-MAŽORETNO DRUŠTVO NOVA GORICA, Slovenia</t>
  </si>
  <si>
    <t>Solo Dance JUNIOR Intermediate-Nina Ladava: TWIRLING-MAŽORETNO DRUŠTVO NOVA GORICA, Slovenia</t>
  </si>
  <si>
    <t>Solo Dance JUNIOR Intermediate-Nina Galamić: MAŽORETNI TWIRLING IN PLESNI KLUB MACE, Slovenia</t>
  </si>
  <si>
    <t>Solo Dance JUNIOR Intermediate-Eva Tišler: MAŽORETNA IN TWIRLING SKUPINA OBČINE PESNICA, Slovenia</t>
  </si>
  <si>
    <t>Solo Dance JUNIOR Intermediate-Lana Memon: TWIRLING IN MAŽORETNI KLUB LUCIJA, Slovenia</t>
  </si>
  <si>
    <t>Solo Dance JUNIOR Intermediate-Lia Nardin Bizjak: MAŽORETNA IN TWIRLING SKUPINA PRVAČINA, Slovenia</t>
  </si>
  <si>
    <t>Solo Dance JUNIOR Intermediate-Eliza Skenderović: TWIRLING IN MAŽORETNI KLUB LUCIJA, Slovenia</t>
  </si>
  <si>
    <t>Solo Dance JUNIOR Intermediate-Maša Slabe: TWIRLING KLUB LOGAŠKIH MAŽORET, Slovenia</t>
  </si>
  <si>
    <t>Solo Dance JUNIOR Intermediate-Marija Španja: TWIRLING KLUB VODICE, Croatia</t>
  </si>
  <si>
    <t>Solo Dance JUNIOR Intermediate-Neja Kuzma: MAŽORETNI IN TWIRLING KLUB KRANJ, Slovenia</t>
  </si>
  <si>
    <t>Solo Dance JUNIOR Intermediate-Gaja Čendak: TWIRLING IN MAŽORETNI KLUB LUCIJA, Slovenia</t>
  </si>
  <si>
    <t>Solo Dance JUNIOR Intermediate-Mija Mihelj: TWIRLING-MAŽORETNO DRUŠTVO NOVA GORICA, Slovenia</t>
  </si>
  <si>
    <t>Solo Dance JUNIOR Intermediate-Sara Žabar: TWIRLING-MAŽORETNO DRUŠTVO NOVA GORICA, Slovenia</t>
  </si>
  <si>
    <t>Solo Dance JUNIOR Intermediate-Tinka Hladnik: TWIRLING KLUB LOGAŠKIH MAŽORET, Slovenia</t>
  </si>
  <si>
    <t>Solo Dance JUNIOR Intermediate-Maja Bešvir: MAŽORETNA IN TWIRLING SKUPINA OBČINE PESNICA, Slovenia</t>
  </si>
  <si>
    <t>Solo Dance JUNIOR Intermediate-Ula Levac Stančič: TWIRLING IN MAŽORETNI KLUB LUCIJA, Slovenia</t>
  </si>
  <si>
    <t>Solo Dance JUNIOR Advanced-Leyla Eminović: TWIRLING IN MAŽORETNI KLUB LUCIJA, Slovenia</t>
  </si>
  <si>
    <t>Solo Dance JUNIOR Advanced-Michele Malović: TWIRLING-MAŽORETNO DRUŠTVO NOVA GORICA, Slovenia</t>
  </si>
  <si>
    <t>Solo Dance JUNIOR Advanced-Nuša Nared: MAŽORETNI TWIRLING IN PLESNI KLUB MACE, Slovenia</t>
  </si>
  <si>
    <t>Solo Dance JUNIOR Advanced-Teira Rupena: TWIRLING IN MAŽORETNI KLUB LUCIJA, Slovenia</t>
  </si>
  <si>
    <t>Solo Dance JUNIOR Advanced-Sara Janjilović: TWIRLING-MAŽORETNO DRUŠTVO NOVA GORICA, Slovenia</t>
  </si>
  <si>
    <t>Solo Dance JUNIOR Advanced-Iza Berzelak: TWIRLING KLUB LOGAŠKIH MAŽORET, Slovenia</t>
  </si>
  <si>
    <t>Solo Dance JUNIOR Professional-Eneja Žerjal: TWIRLING-MAŽORETNO DRUŠTVO NOVA GORICA, Slovenia</t>
  </si>
  <si>
    <t>Solo Dance SENIOR Beginner-Teja Lorber: TWIRLING KLUB ANINIH MAŽORETK, Slovenia</t>
  </si>
  <si>
    <t>Solo Dance SENIOR Beginner-Barbara Frankol: TWIRLING KLUB KRAPINA, Croatia</t>
  </si>
  <si>
    <t>Solo Dance SENIOR Intermediate-Nives Kranjčec: TWIRLING KLUB KRAPINA, Croatia</t>
  </si>
  <si>
    <t>Solo Dance SENIOR Intermediate-Nika Bajec: MAŽORETNA IN TWIRLING SKUPINA PRVAČINA, Slovenia</t>
  </si>
  <si>
    <t>Solo Dance SENIOR Intermediate-Taja Pangerc: MAŽORETNI IN TWIRLING KLUB KRANJ, Slovenia</t>
  </si>
  <si>
    <t>Solo Dance SENIOR Intermediate-Frida Nared: MAŽORETNI TWIRLING IN PLESNI KLUB MACE, Slovenia</t>
  </si>
  <si>
    <t>Solo Dance SENIOR Intermediate-Elena Vragović: TWIRLING KLUB KRAPINA, Croatia</t>
  </si>
  <si>
    <t>Solo Dance SENIOR Intermediate-Gaja Novaković: TWIRLING IN MAŽORETNI KLUB LUCIJA, Slovenia</t>
  </si>
  <si>
    <t>Solo Dance SENIOR Advanced-Neža Markočič: TWIRLING-MAŽORETNO DRUŠTVO NOVA GORICA, Slovenia</t>
  </si>
  <si>
    <t>Solo Dance SENIOR Advanced-Anja Radovac: TWIRLING IN MAŽORETNI KLUB LUCIJA, Slovenia</t>
  </si>
  <si>
    <t>Solo Dance SENIOR Advanced-Iris Juričev: TWIRLING KLUB VODICE, Croatia</t>
  </si>
  <si>
    <t>Solo Dance SENIOR Advanced-Marjeta Kešnar: MAŽORETNI TWIRLING IN PLESNI KLUB MACE, Slovenia</t>
  </si>
  <si>
    <t>Solo Dance SENIOR Advanced-Marija Skočić: TWIRLING KLUB VODICE, Croatia</t>
  </si>
  <si>
    <t>Solo Dance SENIOR Advanced-Urška Pelko: TWIRLING, PLESNI IN MAŽORETNI KLUB LENART, Slovenia</t>
  </si>
  <si>
    <t>Solo Dance SENIOR Professional-Urša Horvat: MAŽORETNI TWIRLING IN PLESNI KLUB MACE, Slovenia</t>
  </si>
  <si>
    <t>Solo Dance SENIOR Professional-Tim Udovič: MAŽORETNI TWIRLING IN PLESNI KLUB MACE, Slovenia</t>
  </si>
  <si>
    <t>Duet Dance CHILDREN Single level-Manca Sofija Medvedc-Maša Zorn: MAŽORETNA IN TWIRLING SKUPINA PRVAČINA, Slovenia</t>
  </si>
  <si>
    <t>Duet Dance CHILDREN Single level-Eneja Muršec-Alja Kaučič: TWIRLING KLUB ANINIH MAŽORETK, Slovenia</t>
  </si>
  <si>
    <t>Duet Dance CHILDREN Single level-Minea Vogrin-Lejla Morina: TWIRLING KLUB ANINIH MAŽORETK, Slovenia</t>
  </si>
  <si>
    <t>Duet Dance CHILDREN Single level-Pia Dacar-Brina Mugerli: MAŽORETNI IN TWIRLING KLUB KRANJ, Slovenia</t>
  </si>
  <si>
    <t>Duet Dance CHILDREN Single level-Mia Komac-Nina Nabergoj: MAŽORETNA IN TWIRLING SKUPINA PRVAČINA, Slovenia</t>
  </si>
  <si>
    <t>Duet Dance CHILDREN Single level-Neža Božnar-Klara Peternel: MAŽORETNI IN TWIRLING KLUB KRANJ, Slovenia</t>
  </si>
  <si>
    <t>Duet Dance CADET Lower level-Daša Bizovičar-Taniša Gabrovec: MAŽORETNI IN TWIRLING KLUB KRANJ, Slovenia</t>
  </si>
  <si>
    <t>Duet Dance CADET Lower level-Laura Harej-Meta Gabrijelčič: MAŽORETNA IN TWIRLING SKUPINA PRVAČINA, Slovenia</t>
  </si>
  <si>
    <t>Duet Dance CADET Lower level-Neža Neuvirt-Zarja Perko: TWIRLING, PLESNI IN MAŽORETNI KLUB LENART, Slovenia</t>
  </si>
  <si>
    <t>Duet Dance CADET Lower level-Ema Miklavčič-Lana Nardin Bizjak : MAŽORETNA IN TWIRLING SKUPINA PRVAČINA, Slovenia</t>
  </si>
  <si>
    <t>Duet Dance CADET Lower level-Sara Radovanović-Lina Kop: TWIRLING KLUB ANINIH MAŽORETK, Slovenia</t>
  </si>
  <si>
    <t>Duet Dance CADET Lower level-Brina Kenda-Mia Martinjaš: TWIRLING IN MAŽORETNI KLUB LUCIJA, Slovenia</t>
  </si>
  <si>
    <t>Duet Dance CADET Lower level-Ana Kramberger-Tiana Marija Nikl: TWIRLING KLUB ANINIH MAŽORETK, Slovenia</t>
  </si>
  <si>
    <t>Duet Dance CADET Lower level-Ula Stojanović Bizjak-Lara Mugerli: MAŽORETNI IN TWIRLING KLUB KRANJ, Slovenia</t>
  </si>
  <si>
    <t>Duet Dance CADET Lower level-Chanel Abram-Julija Vogrič: TWIRLING-MAŽORETNO DRUŠTVO NOVA GORICA, Slovenia</t>
  </si>
  <si>
    <t>Duet Dance CADET Lower level-Ajda Perko-Julija Neuvirt: TWIRLING, PLESNI IN MAŽORETNI KLUB LENART, Slovenia</t>
  </si>
  <si>
    <t>Duet Dance CADET Lower level-Neža Bavčar-Gala Martina Malik: MAŽORETNA IN TWIRLING SKUPINA PRVAČINA, Slovenia</t>
  </si>
  <si>
    <t>Duet Dance JUNIOR Lower level-Gabriela Markežič Požar-Tina Kobal: TWIRLING IN MAŽORETNI KLUB LUCIJA, Slovenia</t>
  </si>
  <si>
    <t>Duet Dance JUNIOR Lower level-Eva Steinbacher-Gaja Čendak: TWIRLING IN MAŽORETNI KLUB LUCIJA, Slovenia</t>
  </si>
  <si>
    <t>Duet Dance JUNIOR Lower level-Marija Španja-Petra Mrković: TWIRLING KLUB VODICE, Croatia</t>
  </si>
  <si>
    <t>Duet Dance JUNIOR Lower level-Aneja Juretič-Natali Vitez: TWIRLING-MAŽORETNO DRUŠTVO NOVA GORICA, Slovenia</t>
  </si>
  <si>
    <t>Duet Dance JUNIOR Lower level-Zoja Djurašinović-Maša Slabe: TWIRLING KLUB LOGAŠKIH MAŽORET, Slovenia</t>
  </si>
  <si>
    <t>Duet Dance JUNIOR Lower level-Lana Kukolaj-Simona Škulj: MAŽORETNI IN TWIRLING KLUB KRANJ, Slovenia</t>
  </si>
  <si>
    <t>Duet Dance JUNIOR Upper level-Lena Ledinko-Nika Miličević: TWIRLING KLUB LUDBREG, Croatia</t>
  </si>
  <si>
    <t>Duet Dance JUNIOR Upper level-Ula Levac Stančič-Teira Rupena: TWIRLING IN MAŽORETNI KLUB LUCIJA, Slovenia</t>
  </si>
  <si>
    <t>Duet Dance JUNIOR Upper level-Lea Bendelja-Ena Čižmešija: TWIRLING KLUB LUDBREG, Croatia</t>
  </si>
  <si>
    <t>Duet Dance JUNIOR Upper level-Gaja Mivec-Nuša Nared: MAŽORETNI TWIRLING IN PLESNI KLUB MACE, Slovenia</t>
  </si>
  <si>
    <t>Duet Dance SENIOR Lower level-Marija Skočić-Iris Juričev: TWIRLING KLUB VODICE, Croatia</t>
  </si>
  <si>
    <t>Duet Dance SENIOR Lower level-Naja Kandžič-Erin Pavčič: MAŽORETNI TWIRLING IN PLESNI KLUB MACE, Slovenia</t>
  </si>
  <si>
    <t>Duet Dance SENIOR Lower level-Tajda Padovnik-Tia Perko: TWIRLING KLUB ANINIH MAŽORETK, Slovenia</t>
  </si>
  <si>
    <t>/</t>
  </si>
  <si>
    <t>Twirling Team CHILDREN Single Level-/: MAŽORETNI IN TWIRLING KLUB KRANJ, Slovenia</t>
  </si>
  <si>
    <t>Twirling Team CADET Lower level-/: TWIRLING IN MAŽORETNI KLUB LUCIJA, Slovenia</t>
  </si>
  <si>
    <t>Twirling Team CADET Lower level-/: MAŽORETNI IN TWIRLING KLUB KRANJ, Slovenia</t>
  </si>
  <si>
    <t>Twirling Team CADET Lower level-/: MAŽORETNA IN TWIRLING SKUPINA PRVAČINA, Slovenia</t>
  </si>
  <si>
    <t>Twirling Team CADET Upper Level-/: TWIRLING KLUB LOGAŠKIH MAŽORET, Slovenia</t>
  </si>
  <si>
    <t>Twirling Team JUNIOR Lower level-/: TWIRLING KLUB KRAPINA, Croatia</t>
  </si>
  <si>
    <t>Twirling Team JUNIOR Lower level-/: MAŽORETNI IN TWIRLING KLUB KRANJ, Slovenia</t>
  </si>
  <si>
    <t>Twirling Team JUNIOR Lower level-/: TWIRLING-MAŽORETNO DRUŠTVO NOVA GORICA, Slovenia</t>
  </si>
  <si>
    <t>Twirling Team JUNIOR Lower level-/: TWIRLING IN MAŽORETNI KLUB LUCIJA, Slovenia</t>
  </si>
  <si>
    <t>Twirling Team SENIOR Lower level-/: TWIRLING KLUB LOGAŠKIH MAŽORET, Slovenia</t>
  </si>
  <si>
    <t>Twirling Team SENIOR Lower level-/: TWIRLING KLUB VODICE, Croatia</t>
  </si>
  <si>
    <t>Twirling Group CHILDREN Single Level-/: MAŽORETNA IN TWIRLING SKUPINA PRVAČINA, Slovenia</t>
  </si>
  <si>
    <t>Twirling Group CHILDREN Single Level-/: TWIRLING KLUB ANINIH MAŽORETK, Slovenia</t>
  </si>
  <si>
    <t>Twirling Group CADET Single Level-/: MAŽORETNI TWIRLING IN PLESNI KLUB MACE, Slovenia</t>
  </si>
  <si>
    <t>Twirling Group CADET Single Level-/: MAŽORETNA IN TWIRLING SKUPINA PRVAČINA, Slovenia</t>
  </si>
  <si>
    <t>Twirling Group SENIOR Single Level-/: MAŽORETNI TWIRLING IN PLESNI KLUB MACE, Slovenia</t>
  </si>
  <si>
    <t xml:space="preserve">FINAL SCORE </t>
  </si>
  <si>
    <t>BEST SOLO/DUET/GROUP TWIRLING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</si>
</sst>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FF0000"/>
      <name val="Georgia"/>
      <family val="1"/>
    </font>
    <font>
      <sz val="10"/>
      <color theme="1"/>
      <name val="Arial Narrow"/>
      <family val="2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Georgia"/>
      <family val="1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2"/>
      <color rgb="FFFF0000"/>
      <name val="Georgia"/>
      <family val="1"/>
      <charset val="238"/>
    </font>
    <font>
      <sz val="1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0" fillId="0" borderId="0" xfId="0" applyNumberFormat="1"/>
    <xf numFmtId="4" fontId="0" fillId="0" borderId="0" xfId="0" applyNumberFormat="1"/>
    <xf numFmtId="0" fontId="5" fillId="0" borderId="0" xfId="0" applyFont="1" applyAlignment="1" applyProtection="1">
      <alignment horizontal="center" vertical="top" wrapText="1"/>
      <protection hidden="1"/>
    </xf>
    <xf numFmtId="0" fontId="5" fillId="0" borderId="0" xfId="1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vertical="top"/>
      <protection hidden="1"/>
    </xf>
    <xf numFmtId="0" fontId="3" fillId="4" borderId="0" xfId="0" applyFont="1" applyFill="1" applyAlignment="1" applyProtection="1">
      <alignment horizontal="center" vertical="top" wrapText="1"/>
      <protection hidden="1"/>
    </xf>
    <xf numFmtId="0" fontId="3" fillId="7" borderId="0" xfId="0" applyFont="1" applyFill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2" fontId="4" fillId="2" borderId="0" xfId="0" applyNumberFormat="1" applyFont="1" applyFill="1" applyAlignment="1" applyProtection="1">
      <alignment horizontal="center"/>
      <protection hidden="1"/>
    </xf>
    <xf numFmtId="2" fontId="4" fillId="3" borderId="0" xfId="0" applyNumberFormat="1" applyFont="1" applyFill="1" applyAlignment="1" applyProtection="1">
      <alignment horizontal="center"/>
      <protection hidden="1"/>
    </xf>
    <xf numFmtId="2" fontId="4" fillId="5" borderId="0" xfId="0" applyNumberFormat="1" applyFont="1" applyFill="1" applyAlignment="1" applyProtection="1">
      <alignment horizontal="center"/>
      <protection hidden="1"/>
    </xf>
    <xf numFmtId="1" fontId="4" fillId="6" borderId="0" xfId="0" applyNumberFormat="1" applyFont="1" applyFill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6" fillId="0" borderId="0" xfId="0" quotePrefix="1" applyFont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14" fillId="0" borderId="0" xfId="0" applyFont="1" applyFill="1" applyAlignment="1" applyProtection="1">
      <alignment horizontal="center" vertical="center"/>
      <protection hidden="1"/>
    </xf>
    <xf numFmtId="0" fontId="14" fillId="0" borderId="0" xfId="0" applyFont="1" applyFill="1" applyProtection="1">
      <protection hidden="1"/>
    </xf>
    <xf numFmtId="2" fontId="14" fillId="2" borderId="0" xfId="0" applyNumberFormat="1" applyFont="1" applyFill="1" applyAlignment="1" applyProtection="1">
      <alignment horizontal="center"/>
      <protection hidden="1"/>
    </xf>
    <xf numFmtId="2" fontId="14" fillId="9" borderId="0" xfId="0" applyNumberFormat="1" applyFont="1" applyFill="1" applyAlignment="1" applyProtection="1">
      <alignment horizontal="center"/>
      <protection hidden="1"/>
    </xf>
    <xf numFmtId="2" fontId="14" fillId="5" borderId="0" xfId="0" applyNumberFormat="1" applyFont="1" applyFill="1" applyAlignment="1" applyProtection="1">
      <alignment horizontal="center"/>
      <protection hidden="1"/>
    </xf>
    <xf numFmtId="1" fontId="14" fillId="6" borderId="0" xfId="0" applyNumberFormat="1" applyFont="1" applyFill="1" applyAlignment="1" applyProtection="1">
      <alignment horizontal="center"/>
      <protection hidden="1"/>
    </xf>
    <xf numFmtId="2" fontId="4" fillId="0" borderId="0" xfId="0" applyNumberFormat="1" applyFont="1" applyFill="1" applyAlignment="1" applyProtection="1">
      <alignment horizontal="center"/>
      <protection hidden="1"/>
    </xf>
    <xf numFmtId="1" fontId="4" fillId="0" borderId="0" xfId="0" applyNumberFormat="1" applyFont="1" applyFill="1" applyAlignment="1" applyProtection="1">
      <alignment horizontal="center"/>
      <protection hidden="1"/>
    </xf>
    <xf numFmtId="2" fontId="4" fillId="9" borderId="0" xfId="0" applyNumberFormat="1" applyFont="1" applyFill="1" applyAlignment="1" applyProtection="1">
      <alignment horizontal="center"/>
      <protection hidden="1"/>
    </xf>
    <xf numFmtId="2" fontId="2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center" wrapText="1"/>
      <protection hidden="1"/>
    </xf>
    <xf numFmtId="2" fontId="14" fillId="3" borderId="0" xfId="0" applyNumberFormat="1" applyFont="1" applyFill="1" applyAlignment="1" applyProtection="1">
      <alignment horizontal="center"/>
      <protection hidden="1"/>
    </xf>
    <xf numFmtId="0" fontId="8" fillId="8" borderId="0" xfId="0" applyFont="1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left"/>
      <protection hidden="1"/>
    </xf>
    <xf numFmtId="0" fontId="8" fillId="8" borderId="0" xfId="0" applyFont="1" applyFill="1" applyProtection="1">
      <protection hidden="1"/>
    </xf>
    <xf numFmtId="2" fontId="8" fillId="8" borderId="0" xfId="0" applyNumberFormat="1" applyFont="1" applyFill="1" applyAlignment="1" applyProtection="1">
      <alignment horizontal="center"/>
      <protection hidden="1"/>
    </xf>
    <xf numFmtId="1" fontId="8" fillId="8" borderId="0" xfId="0" applyNumberFormat="1" applyFont="1" applyFill="1" applyAlignment="1" applyProtection="1">
      <alignment horizontal="center"/>
      <protection hidden="1"/>
    </xf>
    <xf numFmtId="2" fontId="9" fillId="8" borderId="0" xfId="0" applyNumberFormat="1" applyFont="1" applyFill="1" applyAlignment="1" applyProtection="1">
      <alignment horizontal="center"/>
      <protection hidden="1"/>
    </xf>
    <xf numFmtId="0" fontId="10" fillId="8" borderId="0" xfId="0" applyFont="1" applyFill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2" fontId="11" fillId="2" borderId="0" xfId="0" applyNumberFormat="1" applyFont="1" applyFill="1" applyAlignment="1" applyProtection="1">
      <alignment horizontal="center"/>
      <protection hidden="1"/>
    </xf>
    <xf numFmtId="2" fontId="11" fillId="3" borderId="0" xfId="0" applyNumberFormat="1" applyFont="1" applyFill="1" applyAlignment="1" applyProtection="1">
      <alignment horizontal="center"/>
      <protection hidden="1"/>
    </xf>
    <xf numFmtId="2" fontId="11" fillId="5" borderId="0" xfId="0" applyNumberFormat="1" applyFont="1" applyFill="1" applyAlignment="1" applyProtection="1">
      <alignment horizontal="center"/>
      <protection hidden="1"/>
    </xf>
    <xf numFmtId="1" fontId="11" fillId="6" borderId="0" xfId="0" applyNumberFormat="1" applyFont="1" applyFill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 wrapText="1"/>
      <protection hidden="1"/>
    </xf>
    <xf numFmtId="0" fontId="4" fillId="8" borderId="0" xfId="0" applyFont="1" applyFill="1" applyAlignment="1" applyProtection="1">
      <alignment horizontal="left"/>
      <protection hidden="1"/>
    </xf>
    <xf numFmtId="1" fontId="0" fillId="0" borderId="0" xfId="0" applyNumberFormat="1" applyProtection="1">
      <protection hidden="1"/>
    </xf>
    <xf numFmtId="0" fontId="2" fillId="0" borderId="0" xfId="0" applyFont="1" applyAlignment="1" applyProtection="1">
      <alignment vertical="top"/>
      <protection hidden="1"/>
    </xf>
    <xf numFmtId="1" fontId="4" fillId="0" borderId="0" xfId="0" applyNumberFormat="1" applyFont="1" applyProtection="1">
      <protection hidden="1"/>
    </xf>
    <xf numFmtId="0" fontId="4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Protection="1">
      <protection hidden="1"/>
    </xf>
    <xf numFmtId="2" fontId="4" fillId="8" borderId="0" xfId="0" applyNumberFormat="1" applyFont="1" applyFill="1" applyAlignment="1" applyProtection="1">
      <alignment horizontal="center"/>
      <protection hidden="1"/>
    </xf>
    <xf numFmtId="1" fontId="4" fillId="8" borderId="0" xfId="0" applyNumberFormat="1" applyFont="1" applyFill="1" applyAlignment="1" applyProtection="1">
      <alignment horizontal="center"/>
      <protection hidden="1"/>
    </xf>
    <xf numFmtId="2" fontId="2" fillId="8" borderId="0" xfId="0" applyNumberFormat="1" applyFont="1" applyFill="1" applyAlignment="1" applyProtection="1">
      <alignment horizontal="center"/>
      <protection hidden="1"/>
    </xf>
    <xf numFmtId="0" fontId="6" fillId="8" borderId="0" xfId="0" applyFont="1" applyFill="1" applyAlignment="1" applyProtection="1">
      <alignment horizontal="center" wrapText="1"/>
      <protection hidden="1"/>
    </xf>
  </cellXfs>
  <cellStyles count="2">
    <cellStyle name="Normal" xfId="0" builtinId="0"/>
    <cellStyle name="Normal 2" xfId="1" xr:uid="{0871037F-6758-4FA3-9407-7D8A1BBA6A8C}"/>
  </cellStyles>
  <dxfs count="1379"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center" vertical="center" textRotation="0" wrapText="0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font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font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protection locked="1" hidden="1"/>
    </dxf>
    <dxf>
      <alignment vertical="top" textRotation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Georgia"/>
        <scheme val="none"/>
      </font>
      <numFmt numFmtId="0" formatCode="General"/>
      <alignment horizontal="center" vertical="bottom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rgb="FF33CCCC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scheme val="none"/>
      </font>
      <numFmt numFmtId="2" formatCode="0.00"/>
      <fill>
        <patternFill patternType="solid">
          <fgColor indexed="64"/>
          <bgColor theme="5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left" vertical="bottom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protection locked="1" hidden="1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33CCCC"/>
      <color rgb="FFACB9CA"/>
      <color rgb="FFFF9999"/>
      <color rgb="FFCCCCFF"/>
      <color rgb="FFBF9FFF"/>
      <color rgb="FFE49AF8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onnections" Target="connection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5084.895385763892" createdVersion="8" refreshedVersion="8" minRefreshableVersion="3" recordCount="176" xr:uid="{23FC6E18-C123-436C-AAF9-0F779C607C75}">
  <cacheSource type="worksheet">
    <worksheetSource name="Table_Query_ALL"/>
  </cacheSource>
  <cacheFields count="38">
    <cacheField name="Name" numFmtId="0">
      <sharedItems/>
    </cacheField>
    <cacheField name="Start No." numFmtId="0">
      <sharedItems containsSemiMixedTypes="0" containsString="0" containsNumber="1" containsInteger="1" minValue="1" maxValue="176"/>
    </cacheField>
    <cacheField name="Lane" numFmtId="0">
      <sharedItems containsString="0" containsBlank="1" containsNumber="1" containsInteger="1" minValue="1" maxValue="2"/>
    </cacheField>
    <cacheField name="Category" numFmtId="0">
      <sharedItems/>
    </cacheField>
    <cacheField name="Age_x000a_Division" numFmtId="0">
      <sharedItems/>
    </cacheField>
    <cacheField name="Level" numFmtId="0">
      <sharedItems/>
    </cacheField>
    <cacheField name="Athlete" numFmtId="0">
      <sharedItems/>
    </cacheField>
    <cacheField name="Club" numFmtId="0">
      <sharedItems/>
    </cacheField>
    <cacheField name="Country" numFmtId="0">
      <sharedItems/>
    </cacheField>
    <cacheField name="Judge 1_x000a_Tamara Beljak" numFmtId="0">
      <sharedItems containsString="0" containsBlank="1" containsNumber="1" minValue="6.9" maxValue="86.4"/>
    </cacheField>
    <cacheField name="J1 (-)" numFmtId="0">
      <sharedItems containsString="0" containsBlank="1" containsNumber="1" minValue="0.1" maxValue="8"/>
    </cacheField>
    <cacheField name="J1 TOTAL" numFmtId="0">
      <sharedItems containsSemiMixedTypes="0" containsString="0" containsNumber="1" minValue="0" maxValue="85.1"/>
    </cacheField>
    <cacheField name="J1 (Rank)" numFmtId="0">
      <sharedItems containsSemiMixedTypes="0" containsString="0" containsNumber="1" containsInteger="1" minValue="1" maxValue="18"/>
    </cacheField>
    <cacheField name="Judge 2_x000a_Tihomir Bendelja" numFmtId="0">
      <sharedItems containsString="0" containsBlank="1" containsNumber="1" minValue="6" maxValue="87.1"/>
    </cacheField>
    <cacheField name="J2 (-)" numFmtId="0">
      <sharedItems containsString="0" containsBlank="1" containsNumber="1" minValue="0.1" maxValue="4"/>
    </cacheField>
    <cacheField name="J2 TOTAL" numFmtId="0">
      <sharedItems containsSemiMixedTypes="0" containsString="0" containsNumber="1" minValue="0" maxValue="86.6"/>
    </cacheField>
    <cacheField name="J2 (Rank)" numFmtId="0">
      <sharedItems containsSemiMixedTypes="0" containsString="0" containsNumber="1" containsInteger="1" minValue="1" maxValue="18"/>
    </cacheField>
    <cacheField name="Judge 3_x000a_Tea Softić" numFmtId="0">
      <sharedItems containsString="0" containsBlank="1" containsNumber="1" minValue="6.4" maxValue="86.1"/>
    </cacheField>
    <cacheField name="J3 (-)" numFmtId="0">
      <sharedItems containsString="0" containsBlank="1" containsNumber="1" minValue="0.1" maxValue="8"/>
    </cacheField>
    <cacheField name="J3 TOTAL" numFmtId="0">
      <sharedItems containsSemiMixedTypes="0" containsString="0" containsNumber="1" minValue="0" maxValue="84.1"/>
    </cacheField>
    <cacheField name="J3 (Rank)" numFmtId="0">
      <sharedItems containsSemiMixedTypes="0" containsString="0" containsNumber="1" containsInteger="1" minValue="1" maxValue="10"/>
    </cacheField>
    <cacheField name="Judge 4_x000a_Bernard Barač" numFmtId="0">
      <sharedItems containsString="0" containsBlank="1" containsNumber="1" minValue="7.7" maxValue="86.4"/>
    </cacheField>
    <cacheField name="J4 (-)" numFmtId="0">
      <sharedItems containsString="0" containsBlank="1" containsNumber="1" minValue="0.1" maxValue="8"/>
    </cacheField>
    <cacheField name="J4 TOTAL" numFmtId="0">
      <sharedItems containsSemiMixedTypes="0" containsString="0" containsNumber="1" minValue="0" maxValue="84.4"/>
    </cacheField>
    <cacheField name="J4 (Rank)" numFmtId="0">
      <sharedItems containsSemiMixedTypes="0" containsString="0" containsNumber="1" containsInteger="1" minValue="1" maxValue="20"/>
    </cacheField>
    <cacheField name="Judge 5_x000a_Barbara Novina" numFmtId="0">
      <sharedItems containsString="0" containsBlank="1" containsNumber="1" minValue="6.65" maxValue="85.6"/>
    </cacheField>
    <cacheField name="J5 (-)" numFmtId="0">
      <sharedItems containsString="0" containsBlank="1" containsNumber="1" minValue="0.1" maxValue="8"/>
    </cacheField>
    <cacheField name="J5 TOTAL" numFmtId="0">
      <sharedItems containsSemiMixedTypes="0" containsString="0" containsNumber="1" minValue="0" maxValue="82.6"/>
    </cacheField>
    <cacheField name="J5 (Rank)" numFmtId="0">
      <sharedItems containsSemiMixedTypes="0" containsString="0" containsNumber="1" containsInteger="1" minValue="1" maxValue="20"/>
    </cacheField>
    <cacheField name="Total" numFmtId="0">
      <sharedItems containsSemiMixedTypes="0" containsString="0" containsNumber="1" minValue="0" maxValue="335.4"/>
    </cacheField>
    <cacheField name="Low" numFmtId="0">
      <sharedItems containsString="0" containsBlank="1" containsNumber="1" minValue="0" maxValue="82.5"/>
    </cacheField>
    <cacheField name="High" numFmtId="0">
      <sharedItems containsString="0" containsBlank="1" containsNumber="1" minValue="58.9" maxValue="84.4"/>
    </cacheField>
    <cacheField name="Final Total" numFmtId="0">
      <sharedItems containsSemiMixedTypes="0" containsString="0" containsNumber="1" minValue="0" maxValue="243.4"/>
    </cacheField>
    <cacheField name="Avg" numFmtId="2">
      <sharedItems containsString="0" containsBlank="1" containsNumber="1" minValue="6.4333333333333336" maxValue="85.85"/>
    </cacheField>
    <cacheField name="FINAL SCORE" numFmtId="0">
      <sharedItems containsSemiMixedTypes="0" containsString="0" containsNumber="1" minValue="0" maxValue="243.4"/>
    </cacheField>
    <cacheField name="Rank" numFmtId="0">
      <sharedItems containsSemiMixedTypes="0" containsString="0" containsNumber="1" containsInteger="1" minValue="1" maxValue="20"/>
    </cacheField>
    <cacheField name="Category Type" numFmtId="0">
      <sharedItems containsBlank="1" count="4">
        <s v="Solo"/>
        <s v="Duet"/>
        <s v="Group"/>
        <m u="1"/>
      </sharedItems>
    </cacheField>
    <cacheField name="CONSOLIDATED" numFmtId="0">
      <sharedItems containsBlank="1" count="309">
        <s v="Floor 1 Baton CHILDREN Single level-Sofija Bajec: TWIRLING-MAŽORETNO DRUŠTVO NOVA GORICA, Slovenia"/>
        <s v="Floor 1 Baton CHILDREN Single level-Ela Stella Vitez: TWIRLING-MAŽORETNO DRUŠTVO NOVA GORICA, Slovenia"/>
        <s v="Floor 1 Baton CHILDREN Single level-Mija Žabar: TWIRLING-MAŽORETNO DRUŠTVO NOVA GORICA, Slovenia"/>
        <s v="Floor 1 Baton CADET Beginner-Alen Skenderović: TWIRLING IN MAŽORETNI KLUB LUCIJA, Slovenia"/>
        <s v="Floor 1 Baton CADET Beginner-Sara Bajec: TWIRLING-MAŽORETNO DRUŠTVO NOVA GORICA, Slovenia"/>
        <s v="Floor 1 Baton CADET Beginner-Lorena Markovič: MAŽORETNA IN TWIRLING SKUPINA OBČINE PESNICA, Slovenia"/>
        <s v="Floor 1 Baton CADET Beginner-Chanel Abram: TWIRLING-MAŽORETNO DRUŠTVO NOVA GORICA, Slovenia"/>
        <s v="Floor 1 Baton CADET Beginner-Julija Vogrič: TWIRLING-MAŽORETNO DRUŠTVO NOVA GORICA, Slovenia"/>
        <s v="Floor 1 Baton JUNIOR Beginner-Mateja Kruljc: TWIRLING-MAŽORETNO DRUŠTVO NOVA GORICA, Slovenia"/>
        <s v="Floor 1 Baton JUNIOR Beginner-Ela Nina Kralj: MAŽORETNA IN TWIRLING SKUPINA OBČINE PESNICA, Slovenia"/>
        <s v="Floor 1 Baton CADET Intermediate-Kristina Baloh Stojčovski: MAŽORETNI IN TWIRLING KLUB KRANJ, Slovenia"/>
        <s v="Floor 1 Baton CADET Intermediate-Klara Gorenszach: TWIRLING-MAŽORETNO DRUŠTVO NOVA GORICA, Slovenia"/>
        <s v="Floor 1 Baton CADET Intermediate-Klara Nagode: TWIRLING KLUB LOGAŠKIH MAŽORET, Slovenia"/>
        <s v="Floor 1 Baton JUNIOR Advanced-Michele Malovič: TWIRLING-MAŽORETNO DRUŠTVO NOVA GORICA, Slovenia"/>
        <s v="Floor 1 Baton JUNIOR Advanced-Sara Janjilović: TWIRLING-MAŽORETNO DRUŠTVO NOVA GORICA, Slovenia"/>
        <s v="Floor 1 Baton JUNIOR Advanced-Iza Berzelak: TWIRLING KLUB LOGAŠKIH MAŽORET, Slovenia"/>
        <s v="Floor 1 Baton JUNIOR Advanced-Brina Gasser Nežič: TWIRLING KLUB LOGAŠKIH MAŽORET, Slovenia"/>
        <s v="Floor 1 Baton JUNIOR Advanced-Nina Ladava: TWIRLING-MAŽORETNO DRUŠTVO NOVA GORICA, Slovenia"/>
        <s v="Floor 1 Baton JUNIOR Advanced-Natali Vitez: TWIRLING-MAŽORETNO DRUŠTVO NOVA GORICA, Slovenia"/>
        <s v="Floor 1 Baton JUNIOR Intermediate-Aneja Juretič: TWIRLING-MAŽORETNO DRUŠTVO NOVA GORICA, Slovenia"/>
        <s v="Floor 1 Baton JUNIOR Intermediate-Eliza Skenderović: TWIRLING IN MAŽORETNI KLUB LUCIJA, Slovenia"/>
        <s v="Floor 1 Baton JUNIOR Intermediate-Neja Kuzma: MAŽORETNI IN TWIRLING KLUB KRANJ, Slovenia"/>
        <s v="Floor 1 Baton JUNIOR Intermediate-Teira Rupena: TWIRLING IN MAŽORETNI KLUB LUCIJA, Slovenia"/>
        <s v="Floor 1 Baton JUNIOR Intermediate-Zoja Djurašinović: TWIRLING KLUB LOGAŠKIH MAŽORET, Slovenia"/>
        <s v="Floor 1 Baton JUNIOR Intermediate-Sara Žabar: TWIRLING-MAŽORETNO DRUŠTVO NOVA GORICA, Slovenia"/>
        <s v="Floor 1 Baton JUNIOR Intermediate-Mija Mihelj: TWIRLING-MAŽORETNO DRUŠTVO NOVA GORICA, Slovenia"/>
        <s v="Floor 1 Baton JUNIOR Intermediate-Petra Mrković: TWIRLING KLUB VODICE, Croatia"/>
        <s v="Floor 1 Baton JUNIOR Intermediate-Lucija Skočić: TWIRLING KLUB VODICE, Croatia"/>
        <s v="Floor 1 Baton JUNIOR Intermediate-Marija Španja: TWIRLING KLUB VODICE, Croatia"/>
        <s v="Floor 1 Baton SENIOR Intermediate-Neža Markočič: TWIRLING-MAŽORETNO DRUŠTVO NOVA GORICA, Slovenia"/>
        <s v="Floor 1 Baton SENIOR Intermediate-Taja Govekar: TWIRLING KLUB LOGAŠKIH MAŽORET, Slovenia"/>
        <s v="Floor 1 Baton SENIOR Intermediate-Lucija Crnjak: TWIRLING KLUB VODICE, Croatia"/>
        <s v="Floor 1 Baton SENIOR Intermediate-Lucija Crljenak: TWIRLING KLUB VODICE, Croatia"/>
        <s v="Floor 1 Baton SENIOR Advanced-Urška Pelko: TWIRLING, PLESNI IN MAŽORETNI KLUB LENART, Slovenia"/>
        <s v="Floor 1 Baton SENIOR Advanced-Špela Kovačič: TWIRLING, PLESNI IN MAŽORETNI KLUB LENART, Slovenia"/>
        <s v="Floor 1 Baton SENIOR Advanced-Marija Skočić: TWIRLING KLUB VODICE, Croatia"/>
        <s v="Floor 1 Baton SENIOR Advanced-Iris Juričev: TWIRLING KLUB VODICE, Croatia"/>
        <s v="Floor 2 Batons JUNIOR Upper level-Sara Janjilović: TWIRLING-MAŽORETNO DRUŠTVO NOVA GORICA, Slovenia"/>
        <s v="Floor 2 Batons JUNIOR Upper level-Michele Malovič: TWIRLING-MAŽORETNO DRUŠTVO NOVA GORICA, Slovenia"/>
        <s v="Floor 2 Batons JUNIOR Upper level-Natali Vitez: TWIRLING-MAŽORETNO DRUŠTVO NOVA GORICA, Slovenia"/>
        <s v="Floor 2 Batons SENIOR Lower level-Jerneja Bavec: MAŽORETNI TWIRLING IN PLESNI KLUB MACE, Slovenia"/>
        <s v="Floor 2 Batons SENIOR Lower level-Tinkara Kranjec: MAŽORETNI TWIRLING IN PLESNI KLUB MACE, Slovenia"/>
        <s v="Floor 2 Batons CADET Lower Level-Klara Gorenszach: TWIRLING-MAŽORETNO DRUŠTVO NOVA GORICA, Slovenia"/>
        <s v="Floor 2 Batons JUNIOR Lower level-Gaja Mivec: MAŽORETNI TWIRLING IN PLESNI KLUB MACE, Slovenia"/>
        <s v="Floor 2 Batons JUNIOR Lower level-Aneja Juretič: TWIRLING-MAŽORETNO DRUŠTVO NOVA GORICA, Slovenia"/>
        <s v="Floor 2 Batons JUNIOR Lower level-Nina Ladava: TWIRLING-MAŽORETNO DRUŠTVO NOVA GORICA, Slovenia"/>
        <s v="Floor 2 Batons JUNIOR Lower level-Mija Mihelj: TWIRLING-MAŽORETNO DRUŠTVO NOVA GORICA, Slovenia"/>
        <s v="Solo Dance CHILDREN Single level-Sofija Bajec: TWIRLING-MAŽORETNO DRUŠTVO NOVA GORICA, Slovenia"/>
        <s v="Solo Dance CHILDREN Single level-Gašper Purgaj: TWIRLING, PLESNI IN MAŽORETNI KLUB LENART, Slovenia"/>
        <s v="Solo Dance CHILDREN Single level-Neža Bavčar: MAŽORETNA IN TWIRLING SKUPINA PRVAČINA, Slovenia"/>
        <s v="Solo Dance CHILDREN Single level-Ela Stella Vitez: TWIRLING-MAŽORETNO DRUŠTVO NOVA GORICA, Slovenia"/>
        <s v="Solo Dance CHILDREN Single level-Mija Žabar: TWIRLING-MAŽORETNO DRUŠTVO NOVA GORICA, Slovenia"/>
        <s v="Solo Dance CHILDREN Single level-Karolina Čotar: MAŽORETNA IN TWIRLING SKUPINA PRVAČINA, Slovenia"/>
        <s v="Solo Dance CHILDREN Single level-Jerneja Vogrič: TWIRLING-MAŽORETNO DRUŠTVO NOVA GORICA, Slovenia"/>
        <s v="Solo Dance SENIOR Advanced-Neža Markočič: TWIRLING-MAŽORETNO DRUŠTVO NOVA GORICA, Slovenia"/>
        <s v="Solo Dance SENIOR Advanced-Marjeta Kešnar: MAŽORETNI TWIRLING IN PLESNI KLUB MACE, Slovenia"/>
        <s v="Solo Dance SENIOR Advanced-Urška Pelko: TWIRLING, PLESNI IN MAŽORETNI KLUB LENART, Slovenia"/>
        <s v="Solo Dance SENIOR Advanced-Anja Radovac: TWIRLING IN MAŽORETNI KLUB LUCIJA, Slovenia"/>
        <s v="Solo Dance SENIOR Advanced-Marija Skočić: TWIRLING KLUB VODICE, Croatia"/>
        <s v="Solo Dance SENIOR Advanced-Iris Juričev: TWIRLING KLUB VODICE, Croatia"/>
        <s v="Solo Dance SENIOR Intermediate-Frida Nared: MAŽORETNI TWIRLING IN PLESNI KLUB MACE, Slovenia"/>
        <s v="Solo Dance SENIOR Intermediate-Taja Pangerc: MAŽORETNI IN TWIRLING KLUB KRANJ, Slovenia"/>
        <s v="Solo Dance SENIOR Intermediate-Gaja Novaković: TWIRLING IN MAŽORETNI KLUB LUCIJA, Slovenia"/>
        <s v="Solo Dance SENIOR Intermediate-Nives Kranjčec: TWIRLING KLUB KRAPINA, Croatia"/>
        <s v="Solo Dance SENIOR Intermediate-Elena Vragović: TWIRLING KLUB KRAPINA, Croatia"/>
        <s v="Solo Dance SENIOR Intermediate-Nika Bajec: MAŽORETNA IN TWIRLING SKUPINA PRVAČINA, Slovenia"/>
        <s v="Solo Dance CADET Beginner-Ana Omejc: MAŽORETNI IN TWIRLING KLUB KRANJ, Slovenia"/>
        <s v="Solo Dance CADET Beginner-Mia Martinjaš: TWIRLING IN MAŽORETNI KLUB LUCIJA, Slovenia"/>
        <s v="Solo Dance CADET Beginner-Lara Pečkaj: TWIRLING KLUB LOGAŠKIH MAŽORET, Slovenia"/>
        <s v="Solo Dance CADET Beginner-Alen Skenderović: TWIRLING IN MAŽORETNI KLUB LUCIJA, Slovenia"/>
        <s v="Solo Dance CADET Beginner-Yuna Žust: TWIRLING KLUB LOGAŠKIH MAŽORET, Slovenia"/>
        <s v="Solo Dance CADET Beginner-Nalia Žigon: MAŽORETNA IN TWIRLING SKUPINA PRVAČINA, Slovenia"/>
        <s v="Solo Dance CADET Beginner-Neža Neuvirt: TWIRLING, PLESNI IN MAŽORETNI KLUB LENART, Slovenia"/>
        <s v="Solo Dance CADET Beginner-Laura Harej: MAŽORETNA IN TWIRLING SKUPINA PRVAČINA, Slovenia"/>
        <s v="Solo Dance CADET Beginner-Taniša Gabrovec: MAŽORETNI IN TWIRLING KLUB KRANJ, Slovenia"/>
        <s v="Solo Dance CADET Beginner-Veronika Bavčar Šatej: MAŽORETNA IN TWIRLING SKUPINA PRVAČINA, Slovenia"/>
        <s v="Solo Dance CADET Beginner-Ula Stojanović Bizjak: MAŽORETNI IN TWIRLING KLUB KRANJ, Slovenia"/>
        <s v="Solo Dance CADET Beginner-Taja Gubanec: TWIRLING KLUB LOGAŠKIH MAŽORET, Slovenia"/>
        <s v="Solo Dance CADET Beginner-Taja Premrl: MAŽORETNA IN TWIRLING SKUPINA PRVAČINA, Slovenia"/>
        <s v="Solo Dance CADET Beginner-Nika Mubi: MAŽORETNI IN TWIRLING KLUB KRANJ, Slovenia"/>
        <s v="Solo Dance CADET Beginner-Katarina Čurin: TWIRLING IN MAŽORETNI KLUB LUCIJA, Slovenia"/>
        <s v="Solo Dance CADET Beginner-Lana Nardin Bizjak: MAŽORETNA IN TWIRLING SKUPINA PRVAČINA, Slovenia"/>
        <s v="Solo Dance CADET Beginner-Maja Ivezić: TWIRLING IN MAŽORETNI KLUB LUCIJA, Slovenia"/>
        <s v="Solo Dance CADET Beginner-Eva Gabrijelčič: TWIRLING-MAŽORETNO DRUŠTVO NOVA GORICA, Slovenia"/>
        <s v="Solo Dance CADET Beginner-Katarina Zajec: MAŽORETNI IN TWIRLING KLUB KRANJ, Slovenia"/>
        <s v="Solo Dance CADET Beginner-Zarja Perko: TWIRLING, PLESNI IN MAŽORETNI KLUB LENART, Slovenia"/>
        <s v="Solo Dance CADET Intermediate-Klara Nagode: TWIRLING KLUB LOGAŠKIH MAŽORET, Slovenia"/>
        <s v="Solo Dance CADET Intermediate-Klara Gorenszach: TWIRLING-MAŽORETNO DRUŠTVO NOVA GORICA, Slovenia"/>
        <s v="Solo Dance CADET Intermediate-Ana Grbec: TWIRLING KLUB LOGAŠKIH MAŽORET, Slovenia"/>
        <s v="Solo Dance CADET Intermediate-Kristina Baloh Stojčovski: MAŽORETNI IN TWIRLING KLUB KRANJ, Slovenia"/>
        <s v="Solo Dance CADET Intermediate-Ajda Perko: TWIRLING, PLESNI IN MAŽORETNI KLUB LENART, Slovenia"/>
        <s v="Solo Dance CADET Intermediate-Taja Krmec: MAŽORETNI IN TWIRLING KLUB KRANJ, Slovenia"/>
        <s v="Solo Dance CADET Intermediate-Julija Neuvirt: TWIRLING, PLESNI IN MAŽORETNI KLUB LENART, Slovenia"/>
        <s v="Solo Dance CADET Intermediate-Hanah Ela Žauhar: TWIRLING KLUB KRAPINA, Croatia"/>
        <s v="Solo Dance JUNIOR Professional-Eneja Žerjal: TWIRLING-MAŽORETNO DRUŠTVO NOVA GORICA, Slovenia"/>
        <s v="Solo Dance SENIOR Beginner-Barbara Frankol: TWIRLING KLUB KRAPINA, Croatia"/>
        <s v="Solo Dance SENIOR Beginner-Teja Lorber: TWIRLING KLUB ANINIH MAŽORETK, Slovenia"/>
        <s v="Solo Dance SENIOR Professional-Urša Horvat: MAŽORETNI TWIRLING IN PLESNI KLUB MACE, Slovenia"/>
        <s v="Solo Dance SENIOR Professional-Tim Udovič: MAŽORETNI TWIRLING IN PLESNI KLUB MACE, Slovenia"/>
        <s v="Solo Dance JUNIOR Beginner-Teja Cotič: MAŽORETNA IN TWIRLING SKUPINA PRVAČINA, Slovenia"/>
        <s v="Solo Dance JUNIOR Beginner-Mateja Kruljc: TWIRLING-MAŽORETNO DRUŠTVO NOVA GORICA, Slovenia"/>
        <s v="Solo Dance JUNIOR Beginner-Manca Dovgan: MAŽORETNA IN TWIRLING SKUPINA PRVAČINA, Slovenia"/>
        <s v="Solo Dance JUNIOR Beginner-Ela Kramberger: TWIRLING KLUB ANINIH MAŽORETK, Slovenia"/>
        <s v="Solo Dance JUNIOR Beginner-Tia Perko: TWIRLING KLUB ANINIH MAŽORETK, Slovenia"/>
        <s v="Solo Dance JUNIOR Beginner-Tina Kobal: TWIRLING IN MAŽORETNI KLUB LUCIJA, Slovenia"/>
        <s v="Solo Dance JUNIOR Beginner-Gabriela Markežič Požar: TWIRLING IN MAŽORETNI KLUB LUCIJA, Slovenia"/>
        <s v="Solo Dance JUNIOR Intermediate-Nina Ladava: TWIRLING-MAŽORETNO DRUŠTVO NOVA GORICA, Slovenia"/>
        <s v="Solo Dance JUNIOR Intermediate-Eliza Skenderović: TWIRLING IN MAŽORETNI KLUB LUCIJA, Slovenia"/>
        <s v="Solo Dance JUNIOR Intermediate-Sara Žabar: TWIRLING-MAŽORETNO DRUŠTVO NOVA GORICA, Slovenia"/>
        <s v="Solo Dance JUNIOR Intermediate-Neja Kuzma: MAŽORETNI IN TWIRLING KLUB KRANJ, Slovenia"/>
        <s v="Solo Dance JUNIOR Intermediate-Maša Slabe: TWIRLING KLUB LOGAŠKIH MAŽORET, Slovenia"/>
        <s v="Solo Dance JUNIOR Intermediate-Mija Mihelj: TWIRLING-MAŽORETNO DRUŠTVO NOVA GORICA, Slovenia"/>
        <s v="Solo Dance JUNIOR Intermediate-Zala Plesničar: TWIRLING-MAŽORETNO DRUŠTVO NOVA GORICA, Slovenia"/>
        <s v="Solo Dance JUNIOR Intermediate-Tinka Hladnik: TWIRLING KLUB LOGAŠKIH MAŽORET, Slovenia"/>
        <s v="Solo Dance JUNIOR Intermediate-Nina Galamić: MAŽORETNI TWIRLING IN PLESNI KLUB MACE, Slovenia"/>
        <s v="Solo Dance JUNIOR Intermediate-Lia Nardin Bizjak: MAŽORETNA IN TWIRLING SKUPINA PRVAČINA, Slovenia"/>
        <s v="Solo Dance JUNIOR Intermediate-Ula Levac Stančič: TWIRLING IN MAŽORETNI KLUB LUCIJA, Slovenia"/>
        <s v="Solo Dance JUNIOR Intermediate-Eva Steinbacher: TWIRLING IN MAŽORETNI KLUB LUCIJA, Slovenia"/>
        <s v="Solo Dance JUNIOR Intermediate-Maruša Dečman: TWIRLING KLUB LOGAŠKIH MAŽORET, Slovenia"/>
        <s v="Solo Dance JUNIOR Intermediate-Gaja Čendak: TWIRLING IN MAŽORETNI KLUB LUCIJA, Slovenia"/>
        <s v="Solo Dance JUNIOR Intermediate-Lana Memon: TWIRLING IN MAŽORETNI KLUB LUCIJA, Slovenia"/>
        <s v="Solo Dance JUNIOR Intermediate-Marija Španja: TWIRLING KLUB VODICE, Croatia"/>
        <s v="Solo Dance JUNIOR Intermediate-Maja Bešvir: MAŽORETNA IN TWIRLING SKUPINA OBČINE PESNICA, Slovenia"/>
        <s v="Solo Dance JUNIOR Intermediate-Eva Tišler: MAŽORETNA IN TWIRLING SKUPINA OBČINE PESNICA, Slovenia"/>
        <s v="Solo Dance JUNIOR Advanced-Michele Malović: TWIRLING-MAŽORETNO DRUŠTVO NOVA GORICA, Slovenia"/>
        <s v="Solo Dance JUNIOR Advanced-Iza Berzelak: TWIRLING KLUB LOGAŠKIH MAŽORET, Slovenia"/>
        <s v="Solo Dance JUNIOR Advanced-Teira Rupena: TWIRLING IN MAŽORETNI KLUB LUCIJA, Slovenia"/>
        <s v="Solo Dance JUNIOR Advanced-Sara Janjilović: TWIRLING-MAŽORETNO DRUŠTVO NOVA GORICA, Slovenia"/>
        <s v="Solo Dance JUNIOR Advanced-Nuša Nared: MAŽORETNI TWIRLING IN PLESNI KLUB MACE, Slovenia"/>
        <s v="Solo Dance JUNIOR Advanced-Leyla Eminović: TWIRLING IN MAŽORETNI KLUB LUCIJA, Slovenia"/>
        <s v="Duet Dance CHILDREN Single level-Pia Dacar-Brina Mugerli: MAŽORETNI IN TWIRLING KLUB KRANJ, Slovenia"/>
        <s v="Duet Dance CHILDREN Single level-Minea Vogrin-Lejla Morina: TWIRLING KLUB ANINIH MAŽORETK, Slovenia"/>
        <s v="Duet Dance CHILDREN Single level-Manca Sofija Medvedc-Maša Zorn: MAŽORETNA IN TWIRLING SKUPINA PRVAČINA, Slovenia"/>
        <s v="Duet Dance CHILDREN Single level-Eneja Muršec-Alja Kaučič: TWIRLING KLUB ANINIH MAŽORETK, Slovenia"/>
        <s v="Duet Dance CHILDREN Single level-Mia Komac-Nina Nabergoj: MAŽORETNA IN TWIRLING SKUPINA PRVAČINA, Slovenia"/>
        <s v="Duet Dance CHILDREN Single level-Neža Božnar-Klara Peternel: MAŽORETNI IN TWIRLING KLUB KRANJ, Slovenia"/>
        <s v="Duet Dance CADET Lower level-Ajda Perko-Julija Neuvirt: TWIRLING, PLESNI IN MAŽORETNI KLUB LENART, Slovenia"/>
        <s v="Duet Dance CADET Lower level-Chanel Abram-Julija Vogrič: TWIRLING-MAŽORETNO DRUŠTVO NOVA GORICA, Slovenia"/>
        <s v="Duet Dance CADET Lower level-Neža Bavčar-Gala Martina Malik: MAŽORETNA IN TWIRLING SKUPINA PRVAČINA, Slovenia"/>
        <s v="Duet Dance CADET Lower level-Ula Stojanović Bizjak-Lara Mugerli: MAŽORETNI IN TWIRLING KLUB KRANJ, Slovenia"/>
        <s v="Duet Dance CADET Lower level-Laura Harej-Meta Gabrijelčič: MAŽORETNA IN TWIRLING SKUPINA PRVAČINA, Slovenia"/>
        <s v="Duet Dance CADET Lower level-Brina Kenda-Mia Martinjaš: TWIRLING IN MAŽORETNI KLUB LUCIJA, Slovenia"/>
        <s v="Duet Dance CADET Lower level-Neža Neuvirt-Zarja Perko: TWIRLING, PLESNI IN MAŽORETNI KLUB LENART, Slovenia"/>
        <s v="Duet Dance CADET Lower level-Sara Radovanović-Lina Kop: TWIRLING KLUB ANINIH MAŽORETK, Slovenia"/>
        <s v="Duet Dance CADET Lower level-Ana Kramberger-Tiana Marija Nikl: TWIRLING KLUB ANINIH MAŽORETK, Slovenia"/>
        <s v="Duet Dance CADET Lower level-Ema Miklavčič-Lana Nardin Bizjak : MAŽORETNA IN TWIRLING SKUPINA PRVAČINA, Slovenia"/>
        <s v="Duet Dance CADET Lower level-Daša Bizovičar-Taniša Gabrovec: MAŽORETNI IN TWIRLING KLUB KRANJ, Slovenia"/>
        <s v="Duet Dance JUNIOR Lower level-Aneja Juretič-Natali Vitez: TWIRLING-MAŽORETNO DRUŠTVO NOVA GORICA, Slovenia"/>
        <s v="Duet Dance JUNIOR Lower level-Zoja Djurašinović-Maša Slabe: TWIRLING KLUB LOGAŠKIH MAŽORET, Slovenia"/>
        <s v="Duet Dance JUNIOR Lower level-Lana Kukolaj-Simona Škulj: MAŽORETNI IN TWIRLING KLUB KRANJ, Slovenia"/>
        <s v="Duet Dance JUNIOR Lower level-Eva Steinbacher-Gaja Čendak: TWIRLING IN MAŽORETNI KLUB LUCIJA, Slovenia"/>
        <s v="Duet Dance JUNIOR Lower level-Marija Španja-Petra Mrković: TWIRLING KLUB VODICE, Croatia"/>
        <s v="Duet Dance JUNIOR Lower level-Gabriela Markežič Požar-Tina Kobal: TWIRLING IN MAŽORETNI KLUB LUCIJA, Slovenia"/>
        <s v="Duet Dance JUNIOR Upper level-Ula Levac Stančič-Teira Rupena: TWIRLING IN MAŽORETNI KLUB LUCIJA, Slovenia"/>
        <s v="Duet Dance JUNIOR Upper level-Lea Bendelja-Ena Čižmešija: TWIRLING KLUB LUDBREG, Croatia"/>
        <s v="Duet Dance JUNIOR Upper level-Gaja Mivec-Nuša Nared: MAŽORETNI TWIRLING IN PLESNI KLUB MACE, Slovenia"/>
        <s v="Duet Dance JUNIOR Upper level-Lena Ledinko-Nika Miličević: TWIRLING KLUB LUDBREG, Croatia"/>
        <s v="Duet Dance SENIOR Lower level-Naja Kandžič-Erin Pavčič: MAŽORETNI TWIRLING IN PLESNI KLUB MACE, Slovenia"/>
        <s v="Duet Dance SENIOR Lower level-Tajda Padovnik-Tia Perko: TWIRLING KLUB ANINIH MAŽORETK, Slovenia"/>
        <s v="Duet Dance SENIOR Lower level-Marija Skočić-Iris Juričev: TWIRLING KLUB VODICE, Croatia"/>
        <s v="Twirling Team CHILDREN Single Level-/: MAŽORETNI IN TWIRLING KLUB KRANJ, Slovenia"/>
        <s v="Twirling Team CADET Lower level-/: TWIRLING IN MAŽORETNI KLUB LUCIJA, Slovenia"/>
        <s v="Twirling Team CADET Lower level-/: MAŽORETNI IN TWIRLING KLUB KRANJ, Slovenia"/>
        <s v="Twirling Team CADET Lower level-/: MAŽORETNA IN TWIRLING SKUPINA PRVAČINA, Slovenia"/>
        <s v="Twirling Team CADET Upper Level-/: TWIRLING KLUB LOGAŠKIH MAŽORET, Slovenia"/>
        <s v="Twirling Team JUNIOR Lower level-/: TWIRLING-MAŽORETNO DRUŠTVO NOVA GORICA, Slovenia"/>
        <s v="Twirling Team JUNIOR Lower level-/: MAŽORETNI IN TWIRLING KLUB KRANJ, Slovenia"/>
        <s v="Twirling Team JUNIOR Lower level-/: TWIRLING KLUB KRAPINA, Croatia"/>
        <s v="Twirling Team JUNIOR Lower level-/: TWIRLING IN MAŽORETNI KLUB LUCIJA, Slovenia"/>
        <s v="Twirling Team SENIOR Lower level-/: TWIRLING KLUB LOGAŠKIH MAŽORET, Slovenia"/>
        <s v="Twirling Team SENIOR Lower level-/: TWIRLING KLUB VODICE, Croatia"/>
        <s v="Twirling Group CHILDREN Single Level-/: TWIRLING KLUB ANINIH MAŽORETK, Slovenia"/>
        <s v="Twirling Group CHILDREN Single Level-/: MAŽORETNA IN TWIRLING SKUPINA PRVAČINA, Slovenia"/>
        <s v="Twirling Group CADET Single Level-/: MAŽORETNA IN TWIRLING SKUPINA PRVAČINA, Slovenia"/>
        <s v="Twirling Group CADET Single Level-/: MAŽORETNI TWIRLING IN PLESNI KLUB MACE, Slovenia"/>
        <s v="Twirling Group SENIOR Single Level-/: MAŽORETNI TWIRLING IN PLESNI KLUB MACE, Slovenia"/>
        <m u="1"/>
        <s v="Maruša Dečman: TWIRLING KLUB LOGAŠKIH MAŽORET, Slovenia" u="1"/>
        <s v="Katarina Čurin: TWIRLING IN MAŽORETNI KLUB LUCIJA, Slovenia" u="1"/>
        <s v="Julija Neuvirt: TWIRLING, PLESNI IN MAŽORETNI KLUB LENART, Slovenia" u="1"/>
        <s v="Gaja Čendak: TWIRLING IN MAŽORETNI KLUB LUCIJA, Slovenia" u="1"/>
        <s v="Katarina Zajec: MAŽORETNI IN TWIRLING KLUB KRANJ, Slovenia" u="1"/>
        <s v="Teja Lorber: TWIRLING KLUB ANINIH MAŽORETK, Slovenia" u="1"/>
        <s v="Neja Kuzma: MAŽORETNI IN TWIRLING KLUB KRANJ, Slovenia" u="1"/>
        <s v="Daša Bizovičar-Taniša Gabrovec: MAŽORETNI IN TWIRLING KLUB KRANJ, Slovenia" u="1"/>
        <s v="Zoja Djurašinović: TWIRLING KLUB LOGAŠKIH MAŽORET, Slovenia" u="1"/>
        <s v="Nika Bajec: MAŽORETNA IN TWIRLING SKUPINA PRVAČINA, Slovenia" u="1"/>
        <s v="Tim Udovič: MAŽORETNI TWIRLING IN PLESNI KLUB MACE, Slovenia" u="1"/>
        <s v="Maja Ivezić: TWIRLING IN MAŽORETNI KLUB LUCIJA, Slovenia" u="1"/>
        <s v="Laura Harej-Meta Gabrijelčič: MAŽORETNA IN TWIRLING SKUPINA PRVAČINA, Slovenia" u="1"/>
        <s v="Gabriela Markežič Požar-Tina Kobal: TWIRLING IN MAŽORETNI KLUB LUCIJA, Slovenia" u="1"/>
        <s v="Nika Mubi: MAŽORETNI IN TWIRLING KLUB KRANJ, Slovenia" u="1"/>
        <s v="Neža Markočič: TWIRLING-MAŽORETNO DRUŠTVO NOVA GORICA, Slovenia" u="1"/>
        <s v="Ela Stella Vitez: TWIRLING-MAŽORETNO DRUŠTVO NOVA GORICA, Slovenia" u="1"/>
        <s v="Eva Gabrijelčič: TWIRLING-MAŽORETNO DRUŠTVO NOVA GORICA, Slovenia" u="1"/>
        <s v="Taja Govekar: TWIRLING KLUB LOGAŠKIH MAŽORET, Slovenia" u="1"/>
        <s v="Taja Gubanec: TWIRLING KLUB LOGAŠKIH MAŽORET, Slovenia" u="1"/>
        <s v="Taja Krmec: MAŽORETNI IN TWIRLING KLUB KRANJ, Slovenia" u="1"/>
        <s v="Sara Janjilović: TWIRLING-MAŽORETNO DRUŠTVO NOVA GORICA, Slovenia" u="1"/>
        <s v="Lara Pečkaj: TWIRLING KLUB LOGAŠKIH MAŽORET, Slovenia" u="1"/>
        <s v="Nina Ladava: TWIRLING-MAŽORETNO DRUŠTVO NOVA GORICA, Slovenia" u="1"/>
        <s v="Teja Cotič: MAŽORETNA IN TWIRLING SKUPINA PRVAČINA, Slovenia" u="1"/>
        <s v="Ajda Perko-Julija Neuvirt: TWIRLING, PLESNI IN MAŽORETNI KLUB LENART, Slovenia" u="1"/>
        <s v="Špela Kovačič: TWIRLING, PLESNI IN MAŽORETNI KLUB LENART, Slovenia" u="1"/>
        <s v="Urša Horvat: MAŽORETNI TWIRLING IN PLESNI KLUB MACE, Slovenia" u="1"/>
        <s v="Jerneja Bavec: MAŽORETNI TWIRLING IN PLESNI KLUB MACE, Slovenia" u="1"/>
        <s v="Tinka Hladnik: TWIRLING KLUB LOGAŠKIH MAŽORET, Slovenia" u="1"/>
        <s v="Taja Premrl: MAŽORETNA IN TWIRLING SKUPINA PRVAČINA, Slovenia" u="1"/>
        <s v="Gašper Purgaj: TWIRLING, PLESNI IN MAŽORETNI KLUB LENART, Slovenia" u="1"/>
        <s v="Aneja Juretič-Natali Vitez: TWIRLING-MAŽORETNO DRUŠTVO NOVA GORICA, Slovenia" u="1"/>
        <s v="Lucija Crnjak: TWIRLING KLUB VODICE, Croatia" u="1"/>
        <s v="Lucija Skočić: TWIRLING KLUB VODICE, Croatia" u="1"/>
        <s v="Michele Malović: TWIRLING-MAŽORETNO DRUŠTVO NOVA GORICA, Slovenia" u="1"/>
        <s v="Michele Malovič: TWIRLING-MAŽORETNO DRUŠTVO NOVA GORICA, Slovenia" u="1"/>
        <s v="Eneja Žerjal: TWIRLING-MAŽORETNO DRUŠTVO NOVA GORICA, Slovenia" u="1"/>
        <s v="Nuša Nared: MAŽORETNI TWIRLING IN PLESNI KLUB MACE, Slovenia" u="1"/>
        <s v="Eliza Skenderović: TWIRLING IN MAŽORETNI KLUB LUCIJA, Slovenia" u="1"/>
        <s v="Nina Galamić: MAŽORETNI TWIRLING IN PLESNI KLUB MACE, Slovenia" u="1"/>
        <s v="Tia Perko: TWIRLING KLUB ANINIH MAŽORETK, Slovenia" u="1"/>
        <s v="Frida Nared: MAŽORETNI TWIRLING IN PLESNI KLUB MACE, Slovenia" u="1"/>
        <s v="Marjeta Kešnar: MAŽORETNI TWIRLING IN PLESNI KLUB MACE, Slovenia" u="1"/>
        <s v="Maja Bešvir: MAŽORETNA IN TWIRLING SKUPINA OBČINE PESNICA, Slovenia" u="1"/>
        <s v="Ela Nina Kralj: MAŽORETNA IN TWIRLING SKUPINA OBČINE PESNICA, Slovenia" u="1"/>
        <s v="Natali Vitez: TWIRLING-MAŽORETNO DRUŠTVO NOVA GORICA, Slovenia" u="1"/>
        <s v="Lana Kukolaj-Simona Škulj: MAŽORETNI IN TWIRLING KLUB KRANJ, Slovenia" u="1"/>
        <s v="Nalia Žigon: MAŽORETNA IN TWIRLING SKUPINA PRVAČINA, Slovenia" u="1"/>
        <s v="Ajda Perko: TWIRLING, PLESNI IN MAŽORETNI KLUB LENART, Slovenia" u="1"/>
        <s v="Gabriela Markežič Požar: TWIRLING IN MAŽORETNI KLUB LUCIJA, Slovenia" u="1"/>
        <s v="Hanah Ela Žauhar: TWIRLING KLUB KRAPINA, Croatia" u="1"/>
        <s v="Nives Kranjčec: TWIRLING KLUB KRAPINA, Croatia" u="1"/>
        <s v="Lana Nardin Bizjak: MAŽORETNA IN TWIRLING SKUPINA PRVAČINA, Slovenia" u="1"/>
        <s v="Mateja Kruljc: TWIRLING-MAŽORETNO DRUŠTVO NOVA GORICA, Slovenia" u="1"/>
        <s v="Neža Bavčar: MAŽORETNA IN TWIRLING SKUPINA PRVAČINA, Slovenia" u="1"/>
        <s v="Neža Bavčar-Gala Martina Malik: MAŽORETNA IN TWIRLING SKUPINA PRVAČINA, Slovenia" u="1"/>
        <s v="Lucija Crljenak: TWIRLING KLUB VODICE, Croatia" u="1"/>
        <s v="Gaja Mivec-Nuša Nared: MAŽORETNI TWIRLING IN PLESNI KLUB MACE, Slovenia" u="1"/>
        <s v="Eneja Muršec-Alja Kaučič: TWIRLING KLUB ANINIH MAŽORETK, Slovenia" u="1"/>
        <s v="Mia Komac-Nina Nabergoj: MAŽORETNA IN TWIRLING SKUPINA PRVAČINA, Slovenia" u="1"/>
        <s v="Karolina Čotar: MAŽORETNA IN TWIRLING SKUPINA PRVAČINA, Slovenia" u="1"/>
        <s v="Veronika Bavčar Šatej: MAŽORETNA IN TWIRLING SKUPINA PRVAČINA, Slovenia" u="1"/>
        <s v="Barbara Frankol: TWIRLING KLUB KRAPINA, Croatia" u="1"/>
        <s v="Gaja Mivec: MAŽORETNI TWIRLING IN PLESNI KLUB MACE, Slovenia" u="1"/>
        <s v="Eva Tišler: MAŽORETNA IN TWIRLING SKUPINA OBČINE PESNICA, Slovenia" u="1"/>
        <s v="Mija Žabar: TWIRLING-MAŽORETNO DRUŠTVO NOVA GORICA, Slovenia" u="1"/>
        <s v="Sara Radovanović-Lina Kop: TWIRLING KLUB ANINIH MAŽORETK, Slovenia" u="1"/>
        <s v="Ula Levac Stančič: TWIRLING IN MAŽORETNI KLUB LUCIJA, Slovenia" u="1"/>
        <s v="Lorena Markovič: MAŽORETNA IN TWIRLING SKUPINA OBČINE PESNICA, Slovenia" u="1"/>
        <s v="Neža Božnar-Klara Peternel: MAŽORETNI IN TWIRLING KLUB KRANJ, Slovenia" u="1"/>
        <s v="Brina Gasser Nežič: TWIRLING KLUB LOGAŠKIH MAŽORET, Slovenia" u="1"/>
        <s v="Sofija Bajec: TWIRLING-MAŽORETNO DRUŠTVO NOVA GORICA, Slovenia" u="1"/>
        <s v="Minea Vogrin-Lejla Morina: TWIRLING KLUB ANINIH MAŽORETK, Slovenia" u="1"/>
        <s v="Mija Mihelj: TWIRLING-MAŽORETNO DRUŠTVO NOVA GORICA, Slovenia" u="1"/>
        <s v="Ana Kramberger-Tiana Marija Nikl: TWIRLING KLUB ANINIH MAŽORETK, Slovenia" u="1"/>
        <s v="Iza Berzelak: TWIRLING KLUB LOGAŠKIH MAŽORET, Slovenia" u="1"/>
        <s v="Taja Pangerc: MAŽORETNI IN TWIRLING KLUB KRANJ, Slovenia" u="1"/>
        <s v="Kristina Baloh Stojčovski: MAŽORETNI IN TWIRLING KLUB KRANJ, Slovenia" u="1"/>
        <s v="Petra Mrković: TWIRLING KLUB VODICE, Croatia" u="1"/>
        <s v="Eva Steinbacher: TWIRLING IN MAŽORETNI KLUB LUCIJA, Slovenia" u="1"/>
        <s v="Sara Bajec: TWIRLING-MAŽORETNO DRUŠTVO NOVA GORICA, Slovenia" u="1"/>
        <s v="Sara Žabar: TWIRLING-MAŽORETNO DRUŠTVO NOVA GORICA, Slovenia" u="1"/>
        <s v="Alen Skenderović: TWIRLING IN MAŽORETNI KLUB LUCIJA, Slovenia" u="1"/>
        <s v="Ana Omejc: MAŽORETNI IN TWIRLING KLUB KRANJ, Slovenia" u="1"/>
        <s v="Eva Steinbacher-Gaja Čendak: TWIRLING IN MAŽORETNI KLUB LUCIJA, Slovenia" u="1"/>
        <s v="Zala Plesničar: TWIRLING-MAŽORETNO DRUŠTVO NOVA GORICA, Slovenia" u="1"/>
        <s v="Marija Skočić-Iris Juričev: TWIRLING KLUB VODICE, Croatia" u="1"/>
        <s v="Aneja Juretič: TWIRLING-MAŽORETNO DRUŠTVO NOVA GORICA, Slovenia" u="1"/>
        <s v="Laura Harej: MAŽORETNA IN TWIRLING SKUPINA PRVAČINA, Slovenia" u="1"/>
        <s v="Tajda Padovnik-Tia Perko: TWIRLING KLUB ANINIH MAŽORETK, Slovenia" u="1"/>
        <s v="Manca Sofija Medvedc-Maša Zorn: MAŽORETNA IN TWIRLING SKUPINA PRVAČINA, Slovenia" u="1"/>
        <s v="Klara Gorenszach: TWIRLING-MAŽORETNO DRUŠTVO NOVA GORICA, Slovenia" u="1"/>
        <s v="Marija Španja-Petra Mrković: TWIRLING KLUB VODICE, Croatia" u="1"/>
        <s v="Ula Stojanović Bizjak-Lara Mugerli: MAŽORETNI IN TWIRLING KLUB KRANJ, Slovenia" u="1"/>
        <s v="Ula Stojanović Bizjak: MAŽORETNI IN TWIRLING KLUB KRANJ, Slovenia" u="1"/>
        <s v="Lia Nardin Bizjak: MAŽORETNA IN TWIRLING SKUPINA PRVAČINA, Slovenia" u="1"/>
        <s v="Klara Nagode: TWIRLING KLUB LOGAŠKIH MAŽORET, Slovenia" u="1"/>
        <s v="Maša Slabe: TWIRLING KLUB LOGAŠKIH MAŽORET, Slovenia" u="1"/>
        <s v="Ula Levac Stančič-Teira Rupena: TWIRLING IN MAŽORETNI KLUB LUCIJA, Slovenia" u="1"/>
        <s v="Yuna Žust: TWIRLING KLUB LOGAŠKIH MAŽORET, Slovenia" u="1"/>
        <s v="Brina Kenda-Mia Martinjaš: TWIRLING IN MAŽORETNI KLUB LUCIJA, Slovenia" u="1"/>
        <s v="Pia Dacar-Brina Mugerli: MAŽORETNI IN TWIRLING KLUB KRANJ, Slovenia" u="1"/>
        <s v="Ana Grbec: TWIRLING KLUB LOGAŠKIH MAŽORET, Slovenia" u="1"/>
        <s v="Lena Ledinko-Nika Miličević: TWIRLING KLUB LUDBREG, Croatia" u="1"/>
        <s v="Taniša Gabrovec: MAŽORETNI IN TWIRLING KLUB KRANJ, Slovenia" u="1"/>
        <s v="Zoja Djurašinović-Maša Slabe: TWIRLING KLUB LOGAŠKIH MAŽORET, Slovenia" u="1"/>
        <s v="Lana Memon: TWIRLING IN MAŽORETNI KLUB LUCIJA, Slovenia" u="1"/>
        <s v="Neža Neuvirt-Zarja Perko: TWIRLING, PLESNI IN MAŽORETNI KLUB LENART, Slovenia" u="1"/>
        <s v="Marija Skočić: TWIRLING KLUB VODICE, Croatia" u="1"/>
        <s v="Marija Španja: TWIRLING KLUB VODICE, Croatia" u="1"/>
        <s v="Neža Neuvirt: TWIRLING, PLESNI IN MAŽORETNI KLUB LENART, Slovenia" u="1"/>
        <s v="Elena Vragović: TWIRLING KLUB KRAPINA, Croatia" u="1"/>
        <s v="Leyla Eminović: TWIRLING IN MAŽORETNI KLUB LUCIJA, Slovenia" u="1"/>
        <s v="Iris Juričev: TWIRLING KLUB VODICE, Croatia" u="1"/>
        <s v="Naja Kandžič-Erin Pavčič: MAŽORETNI TWIRLING IN PLESNI KLUB MACE, Slovenia" u="1"/>
        <s v="Tina Kobal: TWIRLING IN MAŽORETNI KLUB LUCIJA, Slovenia" u="1"/>
        <s v="Chanel Abram-Julija Vogrič: TWIRLING-MAŽORETNO DRUŠTVO NOVA GORICA, Slovenia" u="1"/>
        <s v="Lea Bendelja-Ena Čižmešija: TWIRLING KLUB LUDBREG, Croatia" u="1"/>
        <s v="Teira Rupena: TWIRLING IN MAŽORETNI KLUB LUCIJA, Slovenia" u="1"/>
        <s v="Tinkara Kranjec: MAŽORETNI TWIRLING IN PLESNI KLUB MACE, Slovenia" u="1"/>
        <s v="Urška Pelko: TWIRLING, PLESNI IN MAŽORETNI KLUB LENART, Slovenia" u="1"/>
        <s v="Chanel Abram: TWIRLING-MAŽORETNO DRUŠTVO NOVA GORICA, Slovenia" u="1"/>
        <s v="Ema Miklavčič-Lana Nardin Bizjak : MAŽORETNA IN TWIRLING SKUPINA PRVAČINA, Slovenia" u="1"/>
        <s v="Anja Radovac: TWIRLING IN MAŽORETNI KLUB LUCIJA, Slovenia" u="1"/>
        <s v="Manca Dovgan: MAŽORETNA IN TWIRLING SKUPINA PRVAČINA, Slovenia" u="1"/>
        <s v="Ela Kramberger: TWIRLING KLUB ANINIH MAŽORETK, Slovenia" u="1"/>
        <s v="Julija Vogrič: TWIRLING-MAŽORETNO DRUŠTVO NOVA GORICA, Slovenia" u="1"/>
        <s v="Mia Martinjaš: TWIRLING IN MAŽORETNI KLUB LUCIJA, Slovenia" u="1"/>
        <s v="Jerneja Vogrič: TWIRLING-MAŽORETNO DRUŠTVO NOVA GORICA, Slovenia" u="1"/>
        <s v="Zarja Perko: TWIRLING, PLESNI IN MAŽORETNI KLUB LENART, Slovenia" u="1"/>
        <s v="Gaja Novaković: TWIRLING IN MAŽORETNI KLUB LUCIJA, Sloveni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6">
  <r>
    <s v="Twirling_Solo_F1B_Children"/>
    <n v="1"/>
    <n v="1"/>
    <s v="Floor 1 Baton"/>
    <s v="CHILDREN"/>
    <s v="Single level"/>
    <s v="Sofija Bajec"/>
    <s v="TWIRLING-MAŽORETNO DRUŠTVO NOVA GORICA"/>
    <s v="Slovenia"/>
    <n v="19.100000000000001"/>
    <m/>
    <n v="19.100000000000001"/>
    <n v="1"/>
    <m/>
    <m/>
    <n v="0"/>
    <n v="1"/>
    <m/>
    <m/>
    <n v="0"/>
    <n v="1"/>
    <n v="18"/>
    <m/>
    <n v="18"/>
    <n v="1"/>
    <n v="18.899999999999999"/>
    <m/>
    <n v="18.899999999999999"/>
    <n v="1"/>
    <n v="56"/>
    <m/>
    <m/>
    <n v="56"/>
    <n v="18.666666666666668"/>
    <n v="56"/>
    <n v="1"/>
    <x v="0"/>
    <x v="0"/>
  </r>
  <r>
    <s v="Twirling_Solo_F1B_Children"/>
    <n v="5"/>
    <n v="1"/>
    <s v="Floor 1 Baton"/>
    <s v="CHILDREN"/>
    <s v="Single level"/>
    <s v="Ela Stella Vitez"/>
    <s v="TWIRLING-MAŽORETNO DRUŠTVO NOVA GORICA"/>
    <s v="Slovenia"/>
    <n v="9.4"/>
    <n v="0.5"/>
    <n v="8.9"/>
    <n v="2"/>
    <m/>
    <m/>
    <n v="0"/>
    <n v="1"/>
    <m/>
    <m/>
    <n v="0"/>
    <n v="1"/>
    <n v="10.1"/>
    <n v="0.5"/>
    <n v="9.6"/>
    <n v="2"/>
    <n v="9"/>
    <n v="0.5"/>
    <n v="8.5"/>
    <n v="2"/>
    <n v="27"/>
    <m/>
    <m/>
    <n v="27"/>
    <n v="9.5"/>
    <n v="27"/>
    <n v="2"/>
    <x v="0"/>
    <x v="1"/>
  </r>
  <r>
    <s v="Twirling_Solo_F1B_Children"/>
    <n v="3"/>
    <n v="1"/>
    <s v="Floor 1 Baton"/>
    <s v="CHILDREN"/>
    <s v="Single level"/>
    <s v="Mija Žabar"/>
    <s v="TWIRLING-MAŽORETNO DRUŠTVO NOVA GORICA"/>
    <s v="Slovenia"/>
    <n v="8.5"/>
    <n v="0.2"/>
    <n v="8.3000000000000007"/>
    <n v="3"/>
    <m/>
    <m/>
    <n v="0"/>
    <n v="1"/>
    <m/>
    <m/>
    <n v="0"/>
    <n v="1"/>
    <n v="9.3000000000000007"/>
    <n v="0.2"/>
    <n v="9.1000000000000014"/>
    <n v="3"/>
    <n v="8.6"/>
    <n v="0.2"/>
    <n v="8.4"/>
    <n v="3"/>
    <n v="25.800000000000004"/>
    <m/>
    <m/>
    <n v="25.800000000000004"/>
    <n v="8.7999999999999989"/>
    <n v="25.800000000000004"/>
    <n v="3"/>
    <x v="0"/>
    <x v="2"/>
  </r>
  <r>
    <s v="Twirling_Solo_F1B_Cadet_Beginner"/>
    <n v="2"/>
    <n v="2"/>
    <s v="Floor 1 Baton"/>
    <s v="CADET"/>
    <s v="Beginner"/>
    <s v="Alen Skenderović"/>
    <s v="TWIRLING IN MAŽORETNI KLUB LUCIJA"/>
    <s v="Slovenia"/>
    <m/>
    <m/>
    <n v="0"/>
    <n v="1"/>
    <n v="13.7"/>
    <n v="0.6"/>
    <n v="13.1"/>
    <n v="1"/>
    <n v="14"/>
    <n v="0.6"/>
    <n v="13.4"/>
    <n v="1"/>
    <m/>
    <m/>
    <n v="0"/>
    <n v="1"/>
    <m/>
    <m/>
    <n v="0"/>
    <n v="1"/>
    <n v="26.5"/>
    <m/>
    <m/>
    <n v="26.5"/>
    <n v="13.85"/>
    <n v="26.5"/>
    <n v="1"/>
    <x v="0"/>
    <x v="3"/>
  </r>
  <r>
    <s v="Twirling_Solo_F1B_Cadet_Beginner"/>
    <n v="10"/>
    <n v="2"/>
    <s v="Floor 1 Baton"/>
    <s v="CADET"/>
    <s v="Beginner"/>
    <s v="Sara Bajec"/>
    <s v="TWIRLING-MAŽORETNO DRUŠTVO NOVA GORICA"/>
    <s v="Slovenia"/>
    <m/>
    <m/>
    <n v="0"/>
    <n v="1"/>
    <n v="13.4"/>
    <n v="0.4"/>
    <n v="13"/>
    <n v="2"/>
    <n v="13.7"/>
    <n v="0.4"/>
    <n v="13.299999999999999"/>
    <n v="2"/>
    <m/>
    <m/>
    <n v="0"/>
    <n v="1"/>
    <m/>
    <m/>
    <n v="0"/>
    <n v="1"/>
    <n v="26.299999999999997"/>
    <m/>
    <m/>
    <n v="26.299999999999997"/>
    <n v="13.55"/>
    <n v="26.299999999999997"/>
    <n v="2"/>
    <x v="0"/>
    <x v="4"/>
  </r>
  <r>
    <s v="Twirling_Solo_F1B_Cadet_Beginner"/>
    <n v="4"/>
    <n v="2"/>
    <s v="Floor 1 Baton"/>
    <s v="CADET"/>
    <s v="Beginner"/>
    <s v="Lorena Markovič"/>
    <s v="MAŽORETNA IN TWIRLING SKUPINA OBČINE PESNICA"/>
    <s v="Slovenia"/>
    <m/>
    <m/>
    <n v="0"/>
    <n v="1"/>
    <n v="10.7"/>
    <n v="0.1"/>
    <n v="10.6"/>
    <n v="3"/>
    <n v="10.9"/>
    <n v="0.1"/>
    <n v="10.8"/>
    <n v="3"/>
    <m/>
    <m/>
    <n v="0"/>
    <n v="1"/>
    <m/>
    <m/>
    <n v="0"/>
    <n v="1"/>
    <n v="21.4"/>
    <m/>
    <m/>
    <n v="21.4"/>
    <n v="10.8"/>
    <n v="21.4"/>
    <n v="3"/>
    <x v="0"/>
    <x v="5"/>
  </r>
  <r>
    <s v="Twirling_Solo_F1B_Cadet_Beginner"/>
    <n v="6"/>
    <n v="2"/>
    <s v="Floor 1 Baton"/>
    <s v="CADET"/>
    <s v="Beginner"/>
    <s v="Chanel Abram"/>
    <s v="TWIRLING-MAŽORETNO DRUŠTVO NOVA GORICA"/>
    <s v="Slovenia"/>
    <m/>
    <m/>
    <n v="0"/>
    <n v="1"/>
    <n v="10.5"/>
    <n v="0.4"/>
    <n v="10.1"/>
    <n v="4"/>
    <n v="11"/>
    <n v="0.4"/>
    <n v="10.6"/>
    <n v="4"/>
    <m/>
    <m/>
    <n v="0"/>
    <n v="1"/>
    <m/>
    <m/>
    <n v="0"/>
    <n v="1"/>
    <n v="20.7"/>
    <m/>
    <m/>
    <n v="20.7"/>
    <n v="10.75"/>
    <n v="20.7"/>
    <n v="4"/>
    <x v="0"/>
    <x v="6"/>
  </r>
  <r>
    <s v="Twirling_Solo_F1B_Cadet_Beginner"/>
    <n v="8"/>
    <n v="2"/>
    <s v="Floor 1 Baton"/>
    <s v="CADET"/>
    <s v="Beginner"/>
    <s v="Julija Vogrič"/>
    <s v="TWIRLING-MAŽORETNO DRUŠTVO NOVA GORICA"/>
    <s v="Slovenia"/>
    <m/>
    <m/>
    <n v="0"/>
    <n v="1"/>
    <n v="10.8"/>
    <n v="0.8"/>
    <n v="10"/>
    <n v="5"/>
    <n v="10.8"/>
    <n v="0.8"/>
    <n v="10"/>
    <n v="5"/>
    <m/>
    <m/>
    <n v="0"/>
    <n v="1"/>
    <m/>
    <m/>
    <n v="0"/>
    <n v="1"/>
    <n v="20"/>
    <m/>
    <m/>
    <n v="20"/>
    <n v="10.8"/>
    <n v="20"/>
    <n v="5"/>
    <x v="0"/>
    <x v="7"/>
  </r>
  <r>
    <s v="Twirling_Solo_F1B_Junior_Beginner"/>
    <n v="9"/>
    <n v="1"/>
    <s v="Floor 1 Baton"/>
    <s v="JUNIOR"/>
    <s v="Beginner"/>
    <s v="Mateja Kruljc"/>
    <s v="TWIRLING-MAŽORETNO DRUŠTVO NOVA GORICA"/>
    <s v="Slovenia"/>
    <n v="14.2"/>
    <n v="0.1"/>
    <n v="14.1"/>
    <n v="1"/>
    <m/>
    <m/>
    <n v="0"/>
    <n v="1"/>
    <m/>
    <m/>
    <n v="0"/>
    <n v="1"/>
    <n v="13.8"/>
    <n v="0.1"/>
    <n v="13.700000000000001"/>
    <n v="1"/>
    <n v="13.9"/>
    <n v="0.1"/>
    <n v="13.8"/>
    <n v="1"/>
    <n v="41.6"/>
    <m/>
    <m/>
    <n v="41.6"/>
    <n v="13.966666666666667"/>
    <n v="41.6"/>
    <n v="1"/>
    <x v="0"/>
    <x v="8"/>
  </r>
  <r>
    <s v="Twirling_Solo_F1B_Junior_Beginner"/>
    <n v="7"/>
    <n v="1"/>
    <s v="Floor 1 Baton"/>
    <s v="JUNIOR"/>
    <s v="Beginner"/>
    <s v="Ela Nina Kralj"/>
    <s v="MAŽORETNA IN TWIRLING SKUPINA OBČINE PESNICA"/>
    <s v="Slovenia"/>
    <n v="9.3000000000000007"/>
    <n v="0.5"/>
    <n v="8.8000000000000007"/>
    <n v="2"/>
    <m/>
    <m/>
    <n v="0"/>
    <n v="1"/>
    <m/>
    <m/>
    <n v="0"/>
    <n v="1"/>
    <n v="9.3000000000000007"/>
    <n v="0.5"/>
    <n v="8.8000000000000007"/>
    <n v="2"/>
    <n v="8"/>
    <n v="0.5"/>
    <n v="7.5"/>
    <n v="2"/>
    <n v="25.1"/>
    <m/>
    <m/>
    <n v="25.1"/>
    <n v="8.8666666666666671"/>
    <n v="25.1"/>
    <n v="2"/>
    <x v="0"/>
    <x v="9"/>
  </r>
  <r>
    <s v="Twirling_Solo_F1B_Cadet_Intermediate"/>
    <n v="14"/>
    <n v="2"/>
    <s v="Floor 1 Baton"/>
    <s v="CADET"/>
    <s v="Intermediate"/>
    <s v="Kristina Baloh Stojčovski"/>
    <s v="MAŽORETNI IN TWIRLING KLUB KRANJ"/>
    <s v="Slovenia"/>
    <m/>
    <m/>
    <n v="0"/>
    <n v="1"/>
    <n v="18.5"/>
    <n v="0.1"/>
    <n v="18.399999999999999"/>
    <n v="1"/>
    <n v="19.100000000000001"/>
    <n v="0.1"/>
    <n v="19"/>
    <n v="1"/>
    <m/>
    <m/>
    <n v="0"/>
    <n v="1"/>
    <m/>
    <m/>
    <n v="0"/>
    <n v="1"/>
    <n v="37.4"/>
    <m/>
    <m/>
    <n v="37.4"/>
    <n v="18.8"/>
    <n v="37.4"/>
    <n v="1"/>
    <x v="0"/>
    <x v="10"/>
  </r>
  <r>
    <s v="Twirling_Solo_F1B_Cadet_Intermediate"/>
    <n v="12"/>
    <n v="2"/>
    <s v="Floor 1 Baton"/>
    <s v="CADET"/>
    <s v="Intermediate"/>
    <s v="Klara Gorenszach"/>
    <s v="TWIRLING-MAŽORETNO DRUŠTVO NOVA GORICA"/>
    <s v="Slovenia"/>
    <m/>
    <m/>
    <n v="0"/>
    <n v="1"/>
    <n v="19.7"/>
    <n v="2.2999999999999998"/>
    <n v="17.399999999999999"/>
    <n v="2"/>
    <n v="20"/>
    <n v="2.2999999999999998"/>
    <n v="17.7"/>
    <n v="2"/>
    <m/>
    <m/>
    <n v="0"/>
    <n v="1"/>
    <m/>
    <m/>
    <n v="0"/>
    <n v="1"/>
    <n v="35.099999999999994"/>
    <m/>
    <m/>
    <n v="35.099999999999994"/>
    <n v="19.850000000000001"/>
    <n v="35.099999999999994"/>
    <n v="2"/>
    <x v="0"/>
    <x v="11"/>
  </r>
  <r>
    <s v="Twirling_Solo_F1B_Cadet_Intermediate"/>
    <n v="16"/>
    <n v="2"/>
    <s v="Floor 1 Baton"/>
    <s v="CADET"/>
    <s v="Intermediate"/>
    <s v="Klara Nagode"/>
    <s v="TWIRLING KLUB LOGAŠKIH MAŽORET"/>
    <s v="Slovenia"/>
    <m/>
    <m/>
    <n v="0"/>
    <n v="1"/>
    <n v="18"/>
    <n v="0.7"/>
    <n v="17.3"/>
    <n v="3"/>
    <n v="18.3"/>
    <n v="0.7"/>
    <n v="17.600000000000001"/>
    <n v="3"/>
    <m/>
    <m/>
    <n v="0"/>
    <n v="1"/>
    <m/>
    <m/>
    <n v="0"/>
    <n v="1"/>
    <n v="34.900000000000006"/>
    <m/>
    <m/>
    <n v="34.900000000000006"/>
    <n v="18.149999999999999"/>
    <n v="34.900000000000006"/>
    <n v="3"/>
    <x v="0"/>
    <x v="12"/>
  </r>
  <r>
    <s v="Twirling_Solo_F1B_Junior_Advanced"/>
    <n v="13"/>
    <n v="1"/>
    <s v="Floor 1 Baton"/>
    <s v="JUNIOR"/>
    <s v="Advanced"/>
    <s v="Michele Malovič"/>
    <s v="TWIRLING-MAŽORETNO DRUŠTVO NOVA GORICA"/>
    <s v="Slovenia"/>
    <n v="29"/>
    <n v="0.2"/>
    <n v="28.8"/>
    <n v="1"/>
    <m/>
    <m/>
    <n v="0"/>
    <n v="1"/>
    <m/>
    <m/>
    <n v="0"/>
    <n v="1"/>
    <n v="27.6"/>
    <n v="0.2"/>
    <n v="27.400000000000002"/>
    <n v="2"/>
    <n v="26.5"/>
    <n v="0.2"/>
    <n v="26.3"/>
    <n v="1"/>
    <n v="82.5"/>
    <m/>
    <m/>
    <n v="82.5"/>
    <n v="27.7"/>
    <n v="82.5"/>
    <n v="1"/>
    <x v="0"/>
    <x v="13"/>
  </r>
  <r>
    <s v="Twirling_Solo_F1B_Junior_Advanced"/>
    <n v="11"/>
    <n v="1"/>
    <s v="Floor 1 Baton"/>
    <s v="JUNIOR"/>
    <s v="Advanced"/>
    <s v="Sara Janjilović"/>
    <s v="TWIRLING-MAŽORETNO DRUŠTVO NOVA GORICA"/>
    <s v="Slovenia"/>
    <n v="28.7"/>
    <n v="0.1"/>
    <n v="28.599999999999998"/>
    <n v="2"/>
    <m/>
    <m/>
    <n v="0"/>
    <n v="1"/>
    <m/>
    <m/>
    <n v="0"/>
    <n v="1"/>
    <n v="27.7"/>
    <n v="0.1"/>
    <n v="27.599999999999998"/>
    <n v="1"/>
    <n v="26"/>
    <n v="0.1"/>
    <n v="25.9"/>
    <n v="2"/>
    <n v="82.1"/>
    <m/>
    <m/>
    <n v="82.1"/>
    <n v="27.466666666666669"/>
    <n v="82.1"/>
    <n v="2"/>
    <x v="0"/>
    <x v="14"/>
  </r>
  <r>
    <s v="Twirling_Solo_F1B_Junior_Advanced"/>
    <n v="17"/>
    <n v="1"/>
    <s v="Floor 1 Baton"/>
    <s v="JUNIOR"/>
    <s v="Advanced"/>
    <s v="Iza Berzelak"/>
    <s v="TWIRLING KLUB LOGAŠKIH MAŽORET"/>
    <s v="Slovenia"/>
    <n v="25.8"/>
    <n v="0.1"/>
    <n v="25.7"/>
    <n v="3"/>
    <m/>
    <m/>
    <n v="0"/>
    <n v="1"/>
    <m/>
    <m/>
    <n v="0"/>
    <n v="1"/>
    <n v="26.9"/>
    <n v="0.1"/>
    <n v="26.799999999999997"/>
    <n v="3"/>
    <n v="24.1"/>
    <n v="0.1"/>
    <n v="24"/>
    <n v="3"/>
    <n v="76.5"/>
    <m/>
    <m/>
    <n v="76.5"/>
    <n v="25.600000000000005"/>
    <n v="76.5"/>
    <n v="3"/>
    <x v="0"/>
    <x v="15"/>
  </r>
  <r>
    <s v="Twirling_Solo_F1B_Junior_Advanced"/>
    <n v="21"/>
    <n v="1"/>
    <s v="Floor 1 Baton"/>
    <s v="JUNIOR"/>
    <s v="Advanced"/>
    <s v="Brina Gasser Nežič"/>
    <s v="TWIRLING KLUB LOGAŠKIH MAŽORET"/>
    <s v="Slovenia"/>
    <n v="25.1"/>
    <n v="0.3"/>
    <n v="24.8"/>
    <n v="4"/>
    <m/>
    <m/>
    <n v="0"/>
    <n v="1"/>
    <m/>
    <m/>
    <n v="0"/>
    <n v="1"/>
    <n v="27"/>
    <n v="0.3"/>
    <n v="26.7"/>
    <n v="4"/>
    <n v="23.4"/>
    <n v="0.3"/>
    <n v="23.099999999999998"/>
    <n v="4"/>
    <n v="74.599999999999994"/>
    <m/>
    <m/>
    <n v="74.599999999999994"/>
    <n v="25.166666666666668"/>
    <n v="74.599999999999994"/>
    <n v="4"/>
    <x v="0"/>
    <x v="16"/>
  </r>
  <r>
    <s v="Twirling_Solo_F1B_Junior_Advanced"/>
    <n v="19"/>
    <n v="1"/>
    <s v="Floor 1 Baton"/>
    <s v="JUNIOR"/>
    <s v="Advanced"/>
    <s v="Nina Ladava"/>
    <s v="TWIRLING-MAŽORETNO DRUŠTVO NOVA GORICA"/>
    <s v="Slovenia"/>
    <n v="22.4"/>
    <n v="0.1"/>
    <n v="22.299999999999997"/>
    <n v="5"/>
    <m/>
    <m/>
    <n v="0"/>
    <n v="1"/>
    <m/>
    <m/>
    <n v="0"/>
    <n v="1"/>
    <n v="22.8"/>
    <n v="0.1"/>
    <n v="22.7"/>
    <n v="5"/>
    <n v="22.3"/>
    <n v="0.1"/>
    <n v="22.2"/>
    <n v="5"/>
    <n v="67.2"/>
    <m/>
    <m/>
    <n v="67.2"/>
    <n v="22.5"/>
    <n v="67.2"/>
    <n v="5"/>
    <x v="0"/>
    <x v="17"/>
  </r>
  <r>
    <s v="Twirling_Solo_F1B_Junior_Advanced"/>
    <n v="15"/>
    <n v="1"/>
    <s v="Floor 1 Baton"/>
    <s v="JUNIOR"/>
    <s v="Advanced"/>
    <s v="Natali Vitez"/>
    <s v="TWIRLING-MAŽORETNO DRUŠTVO NOVA GORICA"/>
    <s v="Slovenia"/>
    <n v="21.9"/>
    <n v="0.7"/>
    <n v="21.2"/>
    <n v="6"/>
    <m/>
    <m/>
    <n v="0"/>
    <n v="1"/>
    <m/>
    <m/>
    <n v="0"/>
    <n v="1"/>
    <n v="22.8"/>
    <n v="0.7"/>
    <n v="22.1"/>
    <n v="6"/>
    <n v="21.1"/>
    <n v="0.7"/>
    <n v="20.400000000000002"/>
    <n v="6"/>
    <n v="63.7"/>
    <m/>
    <m/>
    <n v="63.7"/>
    <n v="21.933333333333337"/>
    <n v="63.7"/>
    <n v="6"/>
    <x v="0"/>
    <x v="18"/>
  </r>
  <r>
    <s v="Twirling_Solo_F1B_Junior_Intermediate"/>
    <n v="22"/>
    <n v="2"/>
    <s v="Floor 1 Baton"/>
    <s v="JUNIOR"/>
    <s v="Intermediate"/>
    <s v="Aneja Juretič"/>
    <s v="TWIRLING-MAŽORETNO DRUŠTVO NOVA GORICA"/>
    <s v="Slovenia"/>
    <m/>
    <m/>
    <n v="0"/>
    <n v="1"/>
    <n v="27.4"/>
    <n v="0.9"/>
    <n v="26.5"/>
    <n v="1"/>
    <n v="27.8"/>
    <n v="0.9"/>
    <n v="26.900000000000002"/>
    <n v="1"/>
    <m/>
    <m/>
    <n v="0"/>
    <n v="1"/>
    <m/>
    <m/>
    <n v="0"/>
    <n v="1"/>
    <n v="53.400000000000006"/>
    <m/>
    <m/>
    <n v="53.400000000000006"/>
    <n v="27.6"/>
    <n v="53.400000000000006"/>
    <n v="1"/>
    <x v="0"/>
    <x v="19"/>
  </r>
  <r>
    <s v="Twirling_Solo_F1B_Junior_Intermediate"/>
    <n v="26"/>
    <n v="2"/>
    <s v="Floor 1 Baton"/>
    <s v="JUNIOR"/>
    <s v="Intermediate"/>
    <s v="Eliza Skenderović"/>
    <s v="TWIRLING IN MAŽORETNI KLUB LUCIJA"/>
    <s v="Slovenia"/>
    <m/>
    <m/>
    <n v="0"/>
    <n v="1"/>
    <n v="23.6"/>
    <n v="0.8"/>
    <n v="22.8"/>
    <n v="2"/>
    <n v="26.2"/>
    <n v="0.8"/>
    <n v="25.4"/>
    <n v="2"/>
    <m/>
    <m/>
    <n v="0"/>
    <n v="1"/>
    <m/>
    <m/>
    <n v="0"/>
    <n v="1"/>
    <n v="48.2"/>
    <m/>
    <m/>
    <n v="48.2"/>
    <n v="24.9"/>
    <n v="48.2"/>
    <n v="2"/>
    <x v="0"/>
    <x v="20"/>
  </r>
  <r>
    <s v="Twirling_Solo_F1B_Junior_Intermediate"/>
    <n v="34"/>
    <n v="2"/>
    <s v="Floor 1 Baton"/>
    <s v="JUNIOR"/>
    <s v="Intermediate"/>
    <s v="Neja Kuzma"/>
    <s v="MAŽORETNI IN TWIRLING KLUB KRANJ"/>
    <s v="Slovenia"/>
    <m/>
    <m/>
    <n v="0"/>
    <n v="1"/>
    <n v="22.7"/>
    <n v="0.1"/>
    <n v="22.599999999999998"/>
    <n v="3"/>
    <n v="23.5"/>
    <n v="0.1"/>
    <n v="23.4"/>
    <n v="3"/>
    <m/>
    <m/>
    <n v="0"/>
    <n v="1"/>
    <m/>
    <m/>
    <n v="0"/>
    <n v="1"/>
    <n v="46"/>
    <m/>
    <m/>
    <n v="46"/>
    <n v="23.1"/>
    <n v="46"/>
    <n v="3"/>
    <x v="0"/>
    <x v="21"/>
  </r>
  <r>
    <s v="Twirling_Solo_F1B_Junior_Intermediate"/>
    <n v="30"/>
    <n v="2"/>
    <s v="Floor 1 Baton"/>
    <s v="JUNIOR"/>
    <s v="Intermediate"/>
    <s v="Teira Rupena"/>
    <s v="TWIRLING IN MAŽORETNI KLUB LUCIJA"/>
    <s v="Slovenia"/>
    <m/>
    <m/>
    <n v="0"/>
    <n v="1"/>
    <n v="25.1"/>
    <n v="3.2"/>
    <n v="21.900000000000002"/>
    <n v="4"/>
    <n v="25.9"/>
    <n v="3.2"/>
    <n v="22.7"/>
    <n v="4"/>
    <m/>
    <m/>
    <n v="0"/>
    <n v="1"/>
    <m/>
    <m/>
    <n v="0"/>
    <n v="1"/>
    <n v="44.6"/>
    <m/>
    <m/>
    <n v="44.6"/>
    <n v="25.5"/>
    <n v="44.6"/>
    <n v="4"/>
    <x v="0"/>
    <x v="22"/>
  </r>
  <r>
    <s v="Twirling_Solo_F1B_Junior_Intermediate"/>
    <n v="20"/>
    <n v="2"/>
    <s v="Floor 1 Baton"/>
    <s v="JUNIOR"/>
    <s v="Intermediate"/>
    <s v="Zoja Djurašinović"/>
    <s v="TWIRLING KLUB LOGAŠKIH MAŽORET"/>
    <s v="Slovenia"/>
    <m/>
    <m/>
    <n v="0"/>
    <n v="1"/>
    <n v="12.5"/>
    <n v="0.6"/>
    <n v="11.9"/>
    <n v="7"/>
    <n v="22"/>
    <n v="0.9"/>
    <n v="21.1"/>
    <n v="5"/>
    <m/>
    <m/>
    <n v="0"/>
    <n v="1"/>
    <m/>
    <m/>
    <n v="0"/>
    <n v="1"/>
    <n v="33"/>
    <m/>
    <m/>
    <n v="33"/>
    <n v="17.25"/>
    <n v="33"/>
    <n v="5"/>
    <x v="0"/>
    <x v="23"/>
  </r>
  <r>
    <s v="Twirling_Solo_F1B_Junior_Intermediate"/>
    <n v="28"/>
    <n v="2"/>
    <s v="Floor 1 Baton"/>
    <s v="JUNIOR"/>
    <s v="Intermediate"/>
    <s v="Sara Žabar"/>
    <s v="TWIRLING-MAŽORETNO DRUŠTVO NOVA GORICA"/>
    <s v="Slovenia"/>
    <m/>
    <m/>
    <n v="0"/>
    <n v="1"/>
    <n v="18.399999999999999"/>
    <n v="0.7"/>
    <n v="17.7"/>
    <n v="6"/>
    <n v="15.8"/>
    <n v="0.7"/>
    <n v="15.100000000000001"/>
    <n v="6"/>
    <m/>
    <m/>
    <n v="0"/>
    <n v="1"/>
    <m/>
    <m/>
    <n v="0"/>
    <n v="1"/>
    <n v="32.799999999999997"/>
    <m/>
    <m/>
    <n v="32.799999999999997"/>
    <n v="17.100000000000001"/>
    <n v="32.799999999999997"/>
    <n v="6"/>
    <x v="0"/>
    <x v="24"/>
  </r>
  <r>
    <s v="Twirling_Solo_F1B_Junior_Intermediate"/>
    <n v="18"/>
    <n v="2"/>
    <s v="Floor 1 Baton"/>
    <s v="JUNIOR"/>
    <s v="Intermediate"/>
    <s v="Mija Mihelj"/>
    <s v="TWIRLING-MAŽORETNO DRUŠTVO NOVA GORICA"/>
    <s v="Slovenia"/>
    <m/>
    <m/>
    <n v="0"/>
    <n v="1"/>
    <n v="21.5"/>
    <n v="0.9"/>
    <n v="20.6"/>
    <n v="5"/>
    <n v="12.6"/>
    <n v="0.6"/>
    <n v="12"/>
    <n v="7"/>
    <m/>
    <m/>
    <n v="0"/>
    <n v="1"/>
    <m/>
    <m/>
    <n v="0"/>
    <n v="1"/>
    <n v="32.6"/>
    <m/>
    <m/>
    <n v="32.6"/>
    <n v="17.05"/>
    <n v="32.6"/>
    <n v="7"/>
    <x v="0"/>
    <x v="25"/>
  </r>
  <r>
    <s v="Twirling_Solo_F1B_Junior_Intermediate"/>
    <n v="24"/>
    <n v="2"/>
    <s v="Floor 1 Baton"/>
    <s v="JUNIOR"/>
    <s v="Intermediate"/>
    <s v="Petra Mrković"/>
    <s v="TWIRLING KLUB VODICE"/>
    <s v="Croatia"/>
    <m/>
    <m/>
    <n v="0"/>
    <n v="1"/>
    <n v="10.7"/>
    <n v="0.2"/>
    <n v="10.5"/>
    <n v="8"/>
    <n v="11.1"/>
    <n v="0.2"/>
    <n v="10.9"/>
    <n v="8"/>
    <m/>
    <m/>
    <n v="0"/>
    <n v="1"/>
    <m/>
    <m/>
    <n v="0"/>
    <n v="1"/>
    <n v="21.4"/>
    <m/>
    <m/>
    <n v="21.4"/>
    <n v="10.899999999999999"/>
    <n v="21.4"/>
    <n v="8"/>
    <x v="0"/>
    <x v="26"/>
  </r>
  <r>
    <s v="Twirling_Solo_F1B_Junior_Intermediate"/>
    <n v="32"/>
    <n v="2"/>
    <s v="Floor 1 Baton"/>
    <s v="JUNIOR"/>
    <s v="Intermediate"/>
    <s v="Lucija Skočić"/>
    <s v="TWIRLING KLUB VODICE"/>
    <s v="Croatia"/>
    <m/>
    <m/>
    <n v="0"/>
    <n v="1"/>
    <n v="10.3"/>
    <n v="1.1000000000000001"/>
    <n v="9.2000000000000011"/>
    <n v="9"/>
    <n v="11.9"/>
    <n v="1.1000000000000001"/>
    <n v="10.8"/>
    <n v="9"/>
    <m/>
    <m/>
    <n v="0"/>
    <n v="1"/>
    <m/>
    <m/>
    <n v="0"/>
    <n v="1"/>
    <n v="20"/>
    <m/>
    <m/>
    <n v="20"/>
    <n v="11.100000000000001"/>
    <n v="20"/>
    <n v="9"/>
    <x v="0"/>
    <x v="27"/>
  </r>
  <r>
    <s v="Twirling_Solo_F1B_Junior_Intermediate"/>
    <n v="36"/>
    <n v="2"/>
    <s v="Floor 1 Baton"/>
    <s v="JUNIOR"/>
    <s v="Intermediate"/>
    <s v="Marija Španja"/>
    <s v="TWIRLING KLUB VODICE"/>
    <s v="Croatia"/>
    <m/>
    <m/>
    <n v="0"/>
    <n v="1"/>
    <n v="9.1999999999999993"/>
    <n v="0.8"/>
    <n v="8.3999999999999986"/>
    <n v="10"/>
    <n v="10.7"/>
    <n v="0.8"/>
    <n v="9.8999999999999986"/>
    <n v="10"/>
    <m/>
    <m/>
    <n v="0"/>
    <n v="1"/>
    <m/>
    <m/>
    <n v="0"/>
    <n v="1"/>
    <n v="18.299999999999997"/>
    <m/>
    <m/>
    <n v="18.299999999999997"/>
    <n v="9.9499999999999993"/>
    <n v="18.299999999999997"/>
    <n v="10"/>
    <x v="0"/>
    <x v="28"/>
  </r>
  <r>
    <s v="Twirling_Solo_F1B_Senior_Intermediate"/>
    <n v="25"/>
    <n v="1"/>
    <s v="Floor 1 Baton"/>
    <s v="SENIOR"/>
    <s v="Intermediate"/>
    <s v="Neža Markočič"/>
    <s v="TWIRLING-MAŽORETNO DRUŠTVO NOVA GORICA"/>
    <s v="Slovenia"/>
    <n v="20.8"/>
    <n v="0.3"/>
    <n v="20.5"/>
    <n v="1"/>
    <m/>
    <m/>
    <n v="0"/>
    <n v="1"/>
    <m/>
    <m/>
    <n v="0"/>
    <n v="1"/>
    <n v="21.9"/>
    <n v="0.3"/>
    <n v="21.599999999999998"/>
    <n v="1"/>
    <n v="21.9"/>
    <n v="0.3"/>
    <n v="21.599999999999998"/>
    <n v="1"/>
    <n v="63.699999999999989"/>
    <m/>
    <m/>
    <n v="63.699999999999989"/>
    <n v="21.533333333333331"/>
    <n v="63.699999999999989"/>
    <n v="1"/>
    <x v="0"/>
    <x v="29"/>
  </r>
  <r>
    <s v="Twirling_Solo_F1B_Senior_Intermediate"/>
    <n v="23"/>
    <n v="1"/>
    <s v="Floor 1 Baton"/>
    <s v="SENIOR"/>
    <s v="Intermediate"/>
    <s v="Taja Govekar"/>
    <s v="TWIRLING KLUB LOGAŠKIH MAŽORET"/>
    <s v="Slovenia"/>
    <n v="17.100000000000001"/>
    <n v="0.4"/>
    <n v="16.700000000000003"/>
    <n v="2"/>
    <m/>
    <m/>
    <n v="0"/>
    <n v="1"/>
    <m/>
    <m/>
    <n v="0"/>
    <n v="1"/>
    <n v="17.100000000000001"/>
    <n v="0.4"/>
    <n v="16.700000000000003"/>
    <n v="2"/>
    <n v="17.600000000000001"/>
    <n v="0.4"/>
    <n v="17.200000000000003"/>
    <n v="2"/>
    <n v="50.600000000000009"/>
    <m/>
    <m/>
    <n v="50.600000000000009"/>
    <n v="17.266666666666669"/>
    <n v="50.600000000000009"/>
    <n v="2"/>
    <x v="0"/>
    <x v="30"/>
  </r>
  <r>
    <s v="Twirling_Solo_F1B_Senior_Intermediate"/>
    <n v="29"/>
    <n v="1"/>
    <s v="Floor 1 Baton"/>
    <s v="SENIOR"/>
    <s v="Intermediate"/>
    <s v="Lucija Crnjak"/>
    <s v="TWIRLING KLUB VODICE"/>
    <s v="Croatia"/>
    <n v="8.1999999999999993"/>
    <n v="0.2"/>
    <n v="7.9999999999999991"/>
    <n v="3"/>
    <m/>
    <m/>
    <n v="0"/>
    <n v="1"/>
    <m/>
    <m/>
    <n v="0"/>
    <n v="1"/>
    <n v="8.4"/>
    <n v="0.2"/>
    <n v="8.2000000000000011"/>
    <n v="3"/>
    <n v="7.7"/>
    <n v="0.2"/>
    <n v="7.5"/>
    <n v="3"/>
    <n v="23.7"/>
    <m/>
    <m/>
    <n v="23.7"/>
    <n v="8.1"/>
    <n v="23.7"/>
    <n v="3"/>
    <x v="0"/>
    <x v="31"/>
  </r>
  <r>
    <s v="Twirling_Solo_F1B_Senior_Intermediate"/>
    <n v="27"/>
    <n v="1"/>
    <s v="Floor 1 Baton"/>
    <s v="SENIOR"/>
    <s v="Intermediate"/>
    <s v="Lucija Crljenak"/>
    <s v="TWIRLING KLUB VODICE"/>
    <s v="Croatia"/>
    <m/>
    <m/>
    <n v="0"/>
    <n v="4"/>
    <m/>
    <m/>
    <n v="0"/>
    <n v="1"/>
    <m/>
    <m/>
    <n v="0"/>
    <n v="1"/>
    <m/>
    <m/>
    <n v="0"/>
    <n v="4"/>
    <m/>
    <m/>
    <n v="0"/>
    <n v="4"/>
    <n v="0"/>
    <m/>
    <m/>
    <n v="0"/>
    <m/>
    <n v="0"/>
    <n v="4"/>
    <x v="0"/>
    <x v="32"/>
  </r>
  <r>
    <s v="Twirling_Solo_F1B_Senior_Advanced"/>
    <n v="37"/>
    <n v="1"/>
    <s v="Floor 1 Baton"/>
    <s v="SENIOR"/>
    <s v="Advanced"/>
    <s v="Urška Pelko"/>
    <s v="TWIRLING, PLESNI IN MAŽORETNI KLUB LENART"/>
    <s v="Slovenia"/>
    <n v="22.8"/>
    <n v="0.2"/>
    <n v="22.6"/>
    <n v="1"/>
    <m/>
    <m/>
    <n v="0"/>
    <n v="1"/>
    <m/>
    <m/>
    <n v="0"/>
    <n v="1"/>
    <n v="21.1"/>
    <n v="0.2"/>
    <n v="20.900000000000002"/>
    <n v="1"/>
    <n v="19.7"/>
    <n v="0.2"/>
    <n v="19.5"/>
    <n v="1"/>
    <n v="63"/>
    <m/>
    <m/>
    <n v="63"/>
    <n v="21.200000000000003"/>
    <n v="63"/>
    <n v="1"/>
    <x v="0"/>
    <x v="33"/>
  </r>
  <r>
    <s v="Twirling_Solo_F1B_Senior_Advanced"/>
    <n v="31"/>
    <n v="1"/>
    <s v="Floor 1 Baton"/>
    <s v="SENIOR"/>
    <s v="Advanced"/>
    <s v="Špela Kovačič"/>
    <s v="TWIRLING, PLESNI IN MAŽORETNI KLUB LENART"/>
    <s v="Slovenia"/>
    <n v="14.7"/>
    <n v="0.2"/>
    <n v="14.5"/>
    <n v="2"/>
    <m/>
    <m/>
    <n v="0"/>
    <n v="1"/>
    <m/>
    <m/>
    <n v="0"/>
    <n v="1"/>
    <n v="16.2"/>
    <n v="0.2"/>
    <n v="16"/>
    <n v="2"/>
    <n v="16.7"/>
    <n v="0.2"/>
    <n v="16.5"/>
    <n v="2"/>
    <n v="47"/>
    <m/>
    <m/>
    <n v="47"/>
    <n v="15.866666666666665"/>
    <n v="47"/>
    <n v="2"/>
    <x v="0"/>
    <x v="34"/>
  </r>
  <r>
    <s v="Twirling_Solo_F1B_Senior_Advanced"/>
    <n v="35"/>
    <n v="1"/>
    <s v="Floor 1 Baton"/>
    <s v="SENIOR"/>
    <s v="Advanced"/>
    <s v="Marija Skočić"/>
    <s v="TWIRLING KLUB VODICE"/>
    <s v="Croatia"/>
    <n v="13.1"/>
    <n v="0.4"/>
    <n v="12.7"/>
    <n v="3"/>
    <m/>
    <m/>
    <n v="0"/>
    <n v="1"/>
    <m/>
    <m/>
    <n v="0"/>
    <n v="1"/>
    <n v="16.3"/>
    <n v="0.4"/>
    <n v="15.9"/>
    <n v="3"/>
    <n v="14.8"/>
    <n v="0.4"/>
    <n v="14.4"/>
    <n v="3"/>
    <n v="43"/>
    <m/>
    <m/>
    <n v="43"/>
    <n v="14.733333333333334"/>
    <n v="43"/>
    <n v="3"/>
    <x v="0"/>
    <x v="35"/>
  </r>
  <r>
    <s v="Twirling_Solo_F1B_Senior_Advanced"/>
    <n v="33"/>
    <n v="1"/>
    <s v="Floor 1 Baton"/>
    <s v="SENIOR"/>
    <s v="Advanced"/>
    <s v="Iris Juričev"/>
    <s v="TWIRLING KLUB VODICE"/>
    <s v="Croatia"/>
    <n v="12.4"/>
    <n v="1.1000000000000001"/>
    <n v="11.3"/>
    <n v="4"/>
    <m/>
    <m/>
    <n v="0"/>
    <n v="1"/>
    <m/>
    <m/>
    <n v="0"/>
    <n v="1"/>
    <n v="16.5"/>
    <n v="1.1000000000000001"/>
    <n v="15.4"/>
    <n v="4"/>
    <n v="13.6"/>
    <n v="1.1000000000000001"/>
    <n v="12.5"/>
    <n v="4"/>
    <n v="39.200000000000003"/>
    <m/>
    <m/>
    <n v="39.200000000000003"/>
    <n v="14.166666666666666"/>
    <n v="39.200000000000003"/>
    <n v="4"/>
    <x v="0"/>
    <x v="36"/>
  </r>
  <r>
    <s v="Twirling_Solo_F2B_Junior_Upper_Level"/>
    <n v="38"/>
    <n v="1"/>
    <s v="Floor 2 Batons"/>
    <s v="JUNIOR"/>
    <s v="Upper level"/>
    <s v="Sara Janjilović"/>
    <s v="TWIRLING-MAŽORETNO DRUŠTVO NOVA GORICA"/>
    <s v="Slovenia"/>
    <n v="28.6"/>
    <m/>
    <n v="28.6"/>
    <n v="1"/>
    <m/>
    <m/>
    <n v="0"/>
    <n v="1"/>
    <m/>
    <m/>
    <n v="0"/>
    <n v="1"/>
    <n v="30"/>
    <m/>
    <n v="30"/>
    <n v="1"/>
    <n v="29.6"/>
    <m/>
    <n v="29.6"/>
    <n v="1"/>
    <n v="88.2"/>
    <m/>
    <m/>
    <n v="88.2"/>
    <n v="29.400000000000002"/>
    <n v="88.2"/>
    <n v="1"/>
    <x v="0"/>
    <x v="37"/>
  </r>
  <r>
    <s v="Twirling_Solo_F2B_Junior_Upper_Level"/>
    <n v="40"/>
    <n v="1"/>
    <s v="Floor 2 Batons"/>
    <s v="JUNIOR"/>
    <s v="Upper level"/>
    <s v="Michele Malovič"/>
    <s v="TWIRLING-MAŽORETNO DRUŠTVO NOVA GORICA"/>
    <s v="Slovenia"/>
    <n v="28.1"/>
    <n v="0.1"/>
    <n v="28"/>
    <n v="2"/>
    <m/>
    <m/>
    <n v="0"/>
    <n v="1"/>
    <m/>
    <m/>
    <n v="0"/>
    <n v="1"/>
    <n v="27.9"/>
    <n v="0.1"/>
    <n v="27.799999999999997"/>
    <n v="2"/>
    <n v="25.7"/>
    <n v="0.1"/>
    <n v="25.599999999999998"/>
    <n v="2"/>
    <n v="81.399999999999991"/>
    <m/>
    <m/>
    <n v="81.399999999999991"/>
    <n v="27.233333333333334"/>
    <n v="81.399999999999991"/>
    <n v="2"/>
    <x v="0"/>
    <x v="38"/>
  </r>
  <r>
    <s v="Twirling_Solo_F2B_Junior_Upper_Level"/>
    <n v="42"/>
    <n v="1"/>
    <s v="Floor 2 Batons"/>
    <s v="JUNIOR"/>
    <s v="Upper level"/>
    <s v="Natali Vitez"/>
    <s v="TWIRLING-MAŽORETNO DRUŠTVO NOVA GORICA"/>
    <s v="Slovenia"/>
    <n v="26"/>
    <n v="0.6"/>
    <n v="25.4"/>
    <n v="3"/>
    <m/>
    <m/>
    <n v="0"/>
    <n v="1"/>
    <m/>
    <m/>
    <n v="0"/>
    <n v="1"/>
    <n v="21.8"/>
    <n v="0.6"/>
    <n v="21.2"/>
    <n v="3"/>
    <n v="23.4"/>
    <n v="0.6"/>
    <n v="22.799999999999997"/>
    <n v="3"/>
    <n v="69.399999999999991"/>
    <m/>
    <m/>
    <n v="69.399999999999991"/>
    <n v="23.733333333333331"/>
    <n v="69.399999999999991"/>
    <n v="3"/>
    <x v="0"/>
    <x v="39"/>
  </r>
  <r>
    <s v="Twirling_Solo_F2B_Senior_Lower_Level"/>
    <n v="44"/>
    <n v="1"/>
    <s v="Floor 2 Batons"/>
    <s v="SENIOR"/>
    <s v="Lower level"/>
    <s v="Jerneja Bavec"/>
    <s v="MAŽORETNI TWIRLING IN PLESNI KLUB MACE"/>
    <s v="Slovenia"/>
    <n v="21.8"/>
    <n v="0.4"/>
    <n v="21.400000000000002"/>
    <n v="1"/>
    <m/>
    <m/>
    <n v="0"/>
    <n v="1"/>
    <m/>
    <m/>
    <n v="0"/>
    <n v="1"/>
    <n v="21.7"/>
    <n v="0.4"/>
    <n v="21.3"/>
    <n v="1"/>
    <n v="22.1"/>
    <n v="0.4"/>
    <n v="21.700000000000003"/>
    <n v="1"/>
    <n v="64.400000000000006"/>
    <m/>
    <m/>
    <n v="64.400000000000006"/>
    <n v="21.866666666666664"/>
    <n v="64.400000000000006"/>
    <n v="1"/>
    <x v="0"/>
    <x v="40"/>
  </r>
  <r>
    <s v="Twirling_Solo_F2B_Senior_Lower_Level"/>
    <n v="46"/>
    <n v="1"/>
    <s v="Floor 2 Batons"/>
    <s v="SENIOR"/>
    <s v="Lower level"/>
    <s v="Tinkara Kranjec"/>
    <s v="MAŽORETNI TWIRLING IN PLESNI KLUB MACE"/>
    <s v="Slovenia"/>
    <n v="21.4"/>
    <n v="1"/>
    <n v="20.399999999999999"/>
    <n v="2"/>
    <m/>
    <m/>
    <n v="0"/>
    <n v="1"/>
    <m/>
    <m/>
    <n v="0"/>
    <n v="1"/>
    <n v="19.5"/>
    <n v="1"/>
    <n v="18.5"/>
    <n v="2"/>
    <n v="22.6"/>
    <n v="1"/>
    <n v="21.6"/>
    <n v="2"/>
    <n v="60.5"/>
    <m/>
    <m/>
    <n v="60.5"/>
    <n v="21.166666666666668"/>
    <n v="60.5"/>
    <n v="2"/>
    <x v="0"/>
    <x v="41"/>
  </r>
  <r>
    <s v="Twirling_Solo_F2B_Cadet_Lower_Level"/>
    <n v="47"/>
    <n v="2"/>
    <s v="Floor 2 Batons"/>
    <s v="CADET"/>
    <s v="Lower level"/>
    <s v="Klara Gorenszach"/>
    <s v="TWIRLING-MAŽORETNO DRUŠTVO NOVA GORICA"/>
    <s v="Slovenia"/>
    <m/>
    <m/>
    <n v="0"/>
    <n v="1"/>
    <n v="20.399999999999999"/>
    <n v="0.3"/>
    <n v="20.099999999999998"/>
    <n v="1"/>
    <n v="20.399999999999999"/>
    <n v="0.3"/>
    <n v="20.099999999999998"/>
    <n v="1"/>
    <m/>
    <m/>
    <n v="0"/>
    <n v="1"/>
    <m/>
    <m/>
    <n v="0"/>
    <n v="1"/>
    <n v="40.199999999999996"/>
    <m/>
    <m/>
    <n v="40.199999999999996"/>
    <n v="20.399999999999999"/>
    <n v="40.199999999999996"/>
    <n v="1"/>
    <x v="0"/>
    <x v="42"/>
  </r>
  <r>
    <s v="Twirling_Solo_F2B_Junior_Lower_Level"/>
    <n v="39"/>
    <n v="2"/>
    <s v="Floor 2 Batons"/>
    <s v="JUNIOR"/>
    <s v="Lower level"/>
    <s v="Gaja Mivec"/>
    <s v="MAŽORETNI TWIRLING IN PLESNI KLUB MACE"/>
    <s v="Slovenia"/>
    <m/>
    <m/>
    <n v="0"/>
    <n v="1"/>
    <n v="28.7"/>
    <n v="0.1"/>
    <n v="28.599999999999998"/>
    <n v="1"/>
    <n v="28.7"/>
    <n v="0.1"/>
    <n v="28.599999999999998"/>
    <n v="1"/>
    <m/>
    <m/>
    <n v="0"/>
    <n v="1"/>
    <m/>
    <m/>
    <n v="0"/>
    <n v="1"/>
    <n v="57.199999999999996"/>
    <m/>
    <m/>
    <n v="57.199999999999996"/>
    <n v="28.7"/>
    <n v="57.199999999999996"/>
    <n v="1"/>
    <x v="0"/>
    <x v="43"/>
  </r>
  <r>
    <s v="Twirling_Solo_F2B_Junior_Lower_Level"/>
    <n v="45"/>
    <n v="2"/>
    <s v="Floor 2 Batons"/>
    <s v="JUNIOR"/>
    <s v="Lower level"/>
    <s v="Aneja Juretič"/>
    <s v="TWIRLING-MAŽORETNO DRUŠTVO NOVA GORICA"/>
    <s v="Slovenia"/>
    <m/>
    <m/>
    <n v="0"/>
    <n v="1"/>
    <n v="26.7"/>
    <n v="0.1"/>
    <n v="26.599999999999998"/>
    <n v="2"/>
    <n v="26.2"/>
    <n v="0.1"/>
    <n v="26.099999999999998"/>
    <n v="2"/>
    <m/>
    <m/>
    <n v="0"/>
    <n v="1"/>
    <m/>
    <m/>
    <n v="0"/>
    <n v="1"/>
    <n v="52.699999999999996"/>
    <m/>
    <m/>
    <n v="52.699999999999996"/>
    <n v="26.45"/>
    <n v="52.699999999999996"/>
    <n v="2"/>
    <x v="0"/>
    <x v="44"/>
  </r>
  <r>
    <s v="Twirling_Solo_F2B_Junior_Lower_Level"/>
    <n v="41"/>
    <n v="2"/>
    <s v="Floor 2 Batons"/>
    <s v="JUNIOR"/>
    <s v="Lower level"/>
    <s v="Nina Ladava"/>
    <s v="TWIRLING-MAŽORETNO DRUŠTVO NOVA GORICA"/>
    <s v="Slovenia"/>
    <m/>
    <m/>
    <n v="0"/>
    <n v="1"/>
    <n v="24.5"/>
    <n v="0.1"/>
    <n v="24.4"/>
    <n v="3"/>
    <n v="24.4"/>
    <n v="0.1"/>
    <n v="24.299999999999997"/>
    <n v="3"/>
    <m/>
    <m/>
    <n v="0"/>
    <n v="1"/>
    <m/>
    <m/>
    <n v="0"/>
    <n v="1"/>
    <n v="48.699999999999996"/>
    <m/>
    <m/>
    <n v="48.699999999999996"/>
    <n v="24.45"/>
    <n v="48.699999999999996"/>
    <n v="3"/>
    <x v="0"/>
    <x v="45"/>
  </r>
  <r>
    <s v="Twirling_Solo_F2B_Junior_Lower_Level"/>
    <n v="43"/>
    <n v="2"/>
    <s v="Floor 2 Batons"/>
    <s v="JUNIOR"/>
    <s v="Lower level"/>
    <s v="Mija Mihelj"/>
    <s v="TWIRLING-MAŽORETNO DRUŠTVO NOVA GORICA"/>
    <s v="Slovenia"/>
    <m/>
    <m/>
    <n v="0"/>
    <n v="1"/>
    <n v="21.4"/>
    <n v="1"/>
    <n v="20.399999999999999"/>
    <n v="4"/>
    <n v="21.5"/>
    <n v="1"/>
    <n v="20.5"/>
    <n v="4"/>
    <m/>
    <m/>
    <n v="0"/>
    <n v="1"/>
    <m/>
    <m/>
    <n v="0"/>
    <n v="1"/>
    <n v="40.9"/>
    <m/>
    <m/>
    <n v="40.9"/>
    <n v="21.45"/>
    <n v="40.9"/>
    <n v="4"/>
    <x v="0"/>
    <x v="46"/>
  </r>
  <r>
    <s v="Twirling_Solo_SoloDance_Children"/>
    <n v="50"/>
    <n v="1"/>
    <s v="Solo Dance"/>
    <s v="CHILDREN"/>
    <s v="Single level"/>
    <s v="Sofija Bajec"/>
    <s v="TWIRLING-MAŽORETNO DRUŠTVO NOVA GORICA"/>
    <s v="Slovenia"/>
    <n v="23.3"/>
    <n v="0.5"/>
    <n v="22.8"/>
    <n v="1"/>
    <n v="21.8"/>
    <n v="0.5"/>
    <n v="21.3"/>
    <n v="1"/>
    <n v="22"/>
    <n v="0.5"/>
    <n v="21.5"/>
    <n v="1"/>
    <m/>
    <m/>
    <n v="0"/>
    <n v="1"/>
    <m/>
    <m/>
    <n v="0"/>
    <n v="1"/>
    <n v="65.599999999999994"/>
    <m/>
    <m/>
    <n v="65.599999999999994"/>
    <n v="22.366666666666664"/>
    <n v="65.599999999999994"/>
    <n v="1"/>
    <x v="0"/>
    <x v="47"/>
  </r>
  <r>
    <s v="Twirling_Solo_SoloDance_Children"/>
    <n v="56"/>
    <n v="1"/>
    <s v="Solo Dance"/>
    <s v="CHILDREN"/>
    <s v="Single level"/>
    <s v="Gašper Purgaj"/>
    <s v="TWIRLING, PLESNI IN MAŽORETNI KLUB LENART"/>
    <s v="Slovenia"/>
    <n v="16.8"/>
    <n v="1.5"/>
    <n v="15.3"/>
    <n v="2"/>
    <n v="16.899999999999999"/>
    <n v="1.5"/>
    <n v="15.399999999999999"/>
    <n v="2"/>
    <n v="14"/>
    <n v="1.5"/>
    <n v="12.5"/>
    <n v="2"/>
    <m/>
    <m/>
    <n v="0"/>
    <n v="1"/>
    <m/>
    <m/>
    <n v="0"/>
    <n v="1"/>
    <n v="43.2"/>
    <m/>
    <m/>
    <n v="43.2"/>
    <n v="15.9"/>
    <n v="43.2"/>
    <n v="2"/>
    <x v="0"/>
    <x v="48"/>
  </r>
  <r>
    <s v="Twirling_Solo_SoloDance_Children"/>
    <n v="60"/>
    <n v="1"/>
    <s v="Solo Dance"/>
    <s v="CHILDREN"/>
    <s v="Single level"/>
    <s v="Neža Bavčar"/>
    <s v="MAŽORETNA IN TWIRLING SKUPINA PRVAČINA"/>
    <s v="Slovenia"/>
    <n v="15.2"/>
    <m/>
    <n v="15.2"/>
    <n v="3"/>
    <n v="15.3"/>
    <m/>
    <n v="15.3"/>
    <n v="3"/>
    <n v="12.4"/>
    <m/>
    <n v="12.4"/>
    <n v="3"/>
    <m/>
    <m/>
    <n v="0"/>
    <n v="1"/>
    <m/>
    <m/>
    <n v="0"/>
    <n v="1"/>
    <n v="42.9"/>
    <m/>
    <m/>
    <n v="42.9"/>
    <n v="14.299999999999999"/>
    <n v="42.9"/>
    <n v="3"/>
    <x v="0"/>
    <x v="49"/>
  </r>
  <r>
    <s v="Twirling_Solo_SoloDance_Children"/>
    <n v="54"/>
    <n v="1"/>
    <s v="Solo Dance"/>
    <s v="CHILDREN"/>
    <s v="Single level"/>
    <s v="Ela Stella Vitez"/>
    <s v="TWIRLING-MAŽORETNO DRUŠTVO NOVA GORICA"/>
    <s v="Slovenia"/>
    <n v="12.3"/>
    <m/>
    <n v="12.3"/>
    <n v="4"/>
    <n v="10.7"/>
    <m/>
    <n v="10.7"/>
    <n v="4"/>
    <n v="12.4"/>
    <m/>
    <n v="12.4"/>
    <n v="3"/>
    <m/>
    <m/>
    <n v="0"/>
    <n v="1"/>
    <m/>
    <m/>
    <n v="0"/>
    <n v="1"/>
    <n v="35.4"/>
    <m/>
    <m/>
    <n v="35.4"/>
    <n v="11.799999999999999"/>
    <n v="35.4"/>
    <n v="4"/>
    <x v="0"/>
    <x v="50"/>
  </r>
  <r>
    <s v="Twirling_Solo_SoloDance_Children"/>
    <n v="48"/>
    <n v="1"/>
    <s v="Solo Dance"/>
    <s v="CHILDREN"/>
    <s v="Single level"/>
    <s v="Mija Žabar"/>
    <s v="TWIRLING-MAŽORETNO DRUŠTVO NOVA GORICA"/>
    <s v="Slovenia"/>
    <n v="9.9"/>
    <n v="0.5"/>
    <n v="9.4"/>
    <n v="5"/>
    <n v="9.6"/>
    <n v="0.5"/>
    <n v="9.1"/>
    <n v="5"/>
    <n v="9.8000000000000007"/>
    <n v="0.5"/>
    <n v="9.3000000000000007"/>
    <n v="5"/>
    <m/>
    <m/>
    <n v="0"/>
    <n v="1"/>
    <m/>
    <m/>
    <n v="0"/>
    <n v="1"/>
    <n v="27.8"/>
    <m/>
    <m/>
    <n v="27.8"/>
    <n v="9.7666666666666675"/>
    <n v="27.8"/>
    <n v="5"/>
    <x v="0"/>
    <x v="51"/>
  </r>
  <r>
    <s v="Twirling_Solo_SoloDance_Children"/>
    <n v="52"/>
    <n v="1"/>
    <s v="Solo Dance"/>
    <s v="CHILDREN"/>
    <s v="Single level"/>
    <s v="Karolina Čotar"/>
    <s v="MAŽORETNA IN TWIRLING SKUPINA PRVAČINA"/>
    <s v="Slovenia"/>
    <n v="9.1"/>
    <n v="0.5"/>
    <n v="8.6"/>
    <n v="6"/>
    <n v="6.5"/>
    <n v="0.5"/>
    <n v="6"/>
    <n v="6"/>
    <n v="6.7"/>
    <n v="0.5"/>
    <n v="6.2"/>
    <n v="6"/>
    <m/>
    <m/>
    <n v="0"/>
    <n v="1"/>
    <m/>
    <m/>
    <n v="0"/>
    <n v="1"/>
    <n v="20.8"/>
    <m/>
    <m/>
    <n v="20.8"/>
    <n v="7.4333333333333336"/>
    <n v="20.8"/>
    <n v="6"/>
    <x v="0"/>
    <x v="52"/>
  </r>
  <r>
    <s v="Twirling_Solo_SoloDance_Children"/>
    <n v="58"/>
    <n v="1"/>
    <s v="Solo Dance"/>
    <s v="CHILDREN"/>
    <s v="Single level"/>
    <s v="Jerneja Vogrič"/>
    <s v="TWIRLING-MAŽORETNO DRUŠTVO NOVA GORICA"/>
    <s v="Slovenia"/>
    <n v="6.9"/>
    <n v="0.5"/>
    <n v="6.4"/>
    <n v="7"/>
    <n v="6"/>
    <n v="0.5"/>
    <n v="5.5"/>
    <n v="7"/>
    <n v="6.4"/>
    <n v="0.5"/>
    <n v="5.9"/>
    <n v="7"/>
    <m/>
    <m/>
    <n v="0"/>
    <n v="1"/>
    <m/>
    <m/>
    <n v="0"/>
    <n v="1"/>
    <n v="17.8"/>
    <m/>
    <m/>
    <n v="17.8"/>
    <n v="6.4333333333333336"/>
    <n v="17.8"/>
    <n v="7"/>
    <x v="0"/>
    <x v="53"/>
  </r>
  <r>
    <s v="Twirling_Solo_SoloDance_Senior_Advanced"/>
    <n v="74"/>
    <n v="1"/>
    <s v="Solo Dance"/>
    <s v="SENIOR"/>
    <s v="Advanced"/>
    <s v="Neža Markočič"/>
    <s v="TWIRLING-MAŽORETNO DRUŠTVO NOVA GORICA"/>
    <s v="Slovenia"/>
    <n v="36.200000000000003"/>
    <n v="1"/>
    <n v="35.200000000000003"/>
    <n v="1"/>
    <n v="36.299999999999997"/>
    <n v="1"/>
    <n v="35.299999999999997"/>
    <n v="1"/>
    <n v="36.5"/>
    <n v="1"/>
    <n v="35.5"/>
    <n v="1"/>
    <m/>
    <m/>
    <n v="0"/>
    <n v="1"/>
    <m/>
    <m/>
    <n v="0"/>
    <n v="1"/>
    <n v="106"/>
    <m/>
    <m/>
    <n v="106"/>
    <n v="36.333333333333336"/>
    <n v="106"/>
    <n v="1"/>
    <x v="0"/>
    <x v="54"/>
  </r>
  <r>
    <s v="Twirling_Solo_SoloDance_Senior_Advanced"/>
    <n v="80"/>
    <n v="1"/>
    <s v="Solo Dance"/>
    <s v="SENIOR"/>
    <s v="Advanced"/>
    <s v="Marjeta Kešnar"/>
    <s v="MAŽORETNI TWIRLING IN PLESNI KLUB MACE"/>
    <s v="Slovenia"/>
    <n v="35.299999999999997"/>
    <n v="1.5"/>
    <n v="33.799999999999997"/>
    <n v="2"/>
    <n v="33.4"/>
    <n v="1.5"/>
    <n v="31.9"/>
    <n v="2"/>
    <n v="36.4"/>
    <n v="1.5"/>
    <n v="34.9"/>
    <n v="2"/>
    <m/>
    <m/>
    <n v="0"/>
    <n v="1"/>
    <m/>
    <m/>
    <n v="0"/>
    <n v="1"/>
    <n v="100.6"/>
    <m/>
    <m/>
    <n v="100.6"/>
    <n v="35.033333333333331"/>
    <n v="100.6"/>
    <n v="2"/>
    <x v="0"/>
    <x v="55"/>
  </r>
  <r>
    <s v="Twirling_Solo_SoloDance_Senior_Advanced"/>
    <n v="84"/>
    <n v="1"/>
    <s v="Solo Dance"/>
    <s v="SENIOR"/>
    <s v="Advanced"/>
    <s v="Urška Pelko"/>
    <s v="TWIRLING, PLESNI IN MAŽORETNI KLUB LENART"/>
    <s v="Slovenia"/>
    <n v="34.4"/>
    <n v="1.5"/>
    <n v="32.9"/>
    <n v="3"/>
    <n v="32"/>
    <n v="1.5"/>
    <n v="30.5"/>
    <n v="3"/>
    <n v="35.4"/>
    <n v="1.5"/>
    <n v="33.9"/>
    <n v="3"/>
    <m/>
    <m/>
    <n v="0"/>
    <n v="1"/>
    <m/>
    <m/>
    <n v="0"/>
    <n v="1"/>
    <n v="97.3"/>
    <m/>
    <m/>
    <n v="97.3"/>
    <n v="33.933333333333337"/>
    <n v="97.3"/>
    <n v="3"/>
    <x v="0"/>
    <x v="56"/>
  </r>
  <r>
    <s v="Twirling_Solo_SoloDance_Senior_Advanced"/>
    <n v="76"/>
    <n v="1"/>
    <s v="Solo Dance"/>
    <s v="SENIOR"/>
    <s v="Advanced"/>
    <s v="Anja Radovac"/>
    <s v="TWIRLING IN MAŽORETNI KLUB LUCIJA"/>
    <s v="Slovenia"/>
    <n v="33.299999999999997"/>
    <n v="2.5"/>
    <n v="30.799999999999997"/>
    <n v="4"/>
    <n v="32.5"/>
    <n v="2.5"/>
    <n v="30"/>
    <n v="4"/>
    <n v="35"/>
    <n v="2.5"/>
    <n v="32.5"/>
    <n v="4"/>
    <m/>
    <m/>
    <n v="0"/>
    <n v="1"/>
    <m/>
    <m/>
    <n v="0"/>
    <n v="1"/>
    <n v="93.3"/>
    <m/>
    <m/>
    <n v="93.3"/>
    <n v="33.6"/>
    <n v="93.3"/>
    <n v="4"/>
    <x v="0"/>
    <x v="57"/>
  </r>
  <r>
    <s v="Twirling_Solo_SoloDance_Senior_Advanced"/>
    <n v="82"/>
    <n v="1"/>
    <s v="Solo Dance"/>
    <s v="SENIOR"/>
    <s v="Advanced"/>
    <s v="Marija Skočić"/>
    <s v="TWIRLING KLUB VODICE"/>
    <s v="Croatia"/>
    <n v="22"/>
    <n v="1"/>
    <n v="21"/>
    <n v="5"/>
    <n v="21.1"/>
    <n v="1"/>
    <n v="20.100000000000001"/>
    <n v="5"/>
    <n v="26"/>
    <n v="1"/>
    <n v="25"/>
    <n v="5"/>
    <m/>
    <m/>
    <n v="0"/>
    <n v="1"/>
    <m/>
    <m/>
    <n v="0"/>
    <n v="1"/>
    <n v="66.099999999999994"/>
    <m/>
    <m/>
    <n v="66.099999999999994"/>
    <n v="23.033333333333331"/>
    <n v="66.099999999999994"/>
    <n v="5"/>
    <x v="0"/>
    <x v="58"/>
  </r>
  <r>
    <s v="Twirling_Solo_SoloDance_Senior_Advanced"/>
    <n v="78"/>
    <n v="1"/>
    <s v="Solo Dance"/>
    <s v="SENIOR"/>
    <s v="Advanced"/>
    <s v="Iris Juričev"/>
    <s v="TWIRLING KLUB VODICE"/>
    <s v="Croatia"/>
    <n v="21"/>
    <n v="1.5"/>
    <n v="19.5"/>
    <n v="6"/>
    <n v="21.4"/>
    <n v="1.5"/>
    <n v="19.899999999999999"/>
    <n v="6"/>
    <n v="20.100000000000001"/>
    <n v="1.5"/>
    <n v="18.600000000000001"/>
    <n v="6"/>
    <m/>
    <m/>
    <n v="0"/>
    <n v="1"/>
    <m/>
    <m/>
    <n v="0"/>
    <n v="1"/>
    <n v="58"/>
    <m/>
    <m/>
    <n v="58"/>
    <n v="20.833333333333332"/>
    <n v="58"/>
    <n v="6"/>
    <x v="0"/>
    <x v="59"/>
  </r>
  <r>
    <s v="Twirling_Solo_SoloDance_Senior_Intermediate"/>
    <n v="68"/>
    <n v="1"/>
    <s v="Solo Dance"/>
    <s v="SENIOR"/>
    <s v="Intermediate"/>
    <s v="Frida Nared"/>
    <s v="MAŽORETNI TWIRLING IN PLESNI KLUB MACE"/>
    <s v="Slovenia"/>
    <n v="21.4"/>
    <n v="2.5"/>
    <n v="18.899999999999999"/>
    <n v="1"/>
    <n v="21.6"/>
    <n v="2.5"/>
    <n v="19.100000000000001"/>
    <n v="1"/>
    <n v="21.9"/>
    <n v="2.5"/>
    <n v="19.399999999999999"/>
    <n v="1"/>
    <m/>
    <m/>
    <n v="0"/>
    <n v="1"/>
    <m/>
    <m/>
    <n v="0"/>
    <n v="1"/>
    <n v="57.4"/>
    <m/>
    <m/>
    <n v="57.4"/>
    <n v="21.633333333333336"/>
    <n v="57.4"/>
    <n v="1"/>
    <x v="0"/>
    <x v="60"/>
  </r>
  <r>
    <s v="Twirling_Solo_SoloDance_Senior_Intermediate"/>
    <n v="66"/>
    <n v="1"/>
    <s v="Solo Dance"/>
    <s v="SENIOR"/>
    <s v="Intermediate"/>
    <s v="Taja Pangerc"/>
    <s v="MAŽORETNI IN TWIRLING KLUB KRANJ"/>
    <s v="Slovenia"/>
    <n v="16.600000000000001"/>
    <n v="0.5"/>
    <n v="16.100000000000001"/>
    <n v="2"/>
    <n v="16.8"/>
    <n v="0.5"/>
    <n v="16.3"/>
    <n v="2"/>
    <n v="16.2"/>
    <n v="0.5"/>
    <n v="15.7"/>
    <n v="2"/>
    <m/>
    <m/>
    <n v="0"/>
    <n v="1"/>
    <m/>
    <m/>
    <n v="0"/>
    <n v="1"/>
    <n v="48.100000000000009"/>
    <m/>
    <m/>
    <n v="48.100000000000009"/>
    <n v="16.533333333333335"/>
    <n v="48.100000000000009"/>
    <n v="2"/>
    <x v="0"/>
    <x v="61"/>
  </r>
  <r>
    <s v="Twirling_Solo_SoloDance_Senior_Intermediate"/>
    <n v="72"/>
    <n v="1"/>
    <s v="Solo Dance"/>
    <s v="SENIOR"/>
    <s v="Intermediate"/>
    <s v="Gaja Novaković"/>
    <s v="TWIRLING IN MAŽORETNI KLUB LUCIJA"/>
    <s v="Slovenia"/>
    <n v="17"/>
    <n v="3"/>
    <n v="14"/>
    <n v="3"/>
    <n v="18.5"/>
    <n v="3"/>
    <n v="15.5"/>
    <n v="3"/>
    <n v="16.8"/>
    <n v="3"/>
    <n v="13.8"/>
    <n v="3"/>
    <m/>
    <m/>
    <n v="0"/>
    <n v="1"/>
    <m/>
    <m/>
    <n v="0"/>
    <n v="1"/>
    <n v="43.3"/>
    <m/>
    <m/>
    <n v="43.3"/>
    <n v="17.433333333333334"/>
    <n v="43.3"/>
    <n v="3"/>
    <x v="0"/>
    <x v="62"/>
  </r>
  <r>
    <s v="Twirling_Solo_SoloDance_Senior_Intermediate"/>
    <n v="62"/>
    <n v="1"/>
    <s v="Solo Dance"/>
    <s v="SENIOR"/>
    <s v="Intermediate"/>
    <s v="Nives Kranjčec"/>
    <s v="TWIRLING KLUB KRAPINA"/>
    <s v="Croatia"/>
    <n v="11.8"/>
    <n v="1.5"/>
    <n v="10.3"/>
    <n v="4"/>
    <n v="11.7"/>
    <n v="1.5"/>
    <n v="10.199999999999999"/>
    <n v="4"/>
    <n v="12.4"/>
    <n v="1.5"/>
    <n v="10.9"/>
    <n v="4"/>
    <m/>
    <m/>
    <n v="0"/>
    <n v="1"/>
    <m/>
    <m/>
    <n v="0"/>
    <n v="1"/>
    <n v="31.4"/>
    <m/>
    <m/>
    <n v="31.4"/>
    <n v="11.966666666666667"/>
    <n v="31.4"/>
    <n v="4"/>
    <x v="0"/>
    <x v="63"/>
  </r>
  <r>
    <s v="Twirling_Solo_SoloDance_Senior_Intermediate"/>
    <n v="70"/>
    <n v="1"/>
    <s v="Solo Dance"/>
    <s v="SENIOR"/>
    <s v="Intermediate"/>
    <s v="Elena Vragović"/>
    <s v="TWIRLING KLUB KRAPINA"/>
    <s v="Croatia"/>
    <n v="12.8"/>
    <n v="4"/>
    <n v="8.8000000000000007"/>
    <n v="5"/>
    <n v="10.4"/>
    <n v="4"/>
    <n v="6.4"/>
    <n v="5"/>
    <n v="11.9"/>
    <n v="4"/>
    <n v="7.9"/>
    <n v="5"/>
    <m/>
    <m/>
    <n v="0"/>
    <n v="1"/>
    <m/>
    <m/>
    <n v="0"/>
    <n v="1"/>
    <n v="23.1"/>
    <m/>
    <m/>
    <n v="23.1"/>
    <n v="11.700000000000001"/>
    <n v="23.1"/>
    <n v="5"/>
    <x v="0"/>
    <x v="64"/>
  </r>
  <r>
    <s v="Twirling_Solo_SoloDance_Senior_Intermediate"/>
    <n v="64"/>
    <n v="1"/>
    <s v="Solo Dance"/>
    <s v="SENIOR"/>
    <s v="Intermediate"/>
    <s v="Nika Bajec"/>
    <s v="MAŽORETNA IN TWIRLING SKUPINA PRVAČINA"/>
    <s v="Slovenia"/>
    <m/>
    <m/>
    <n v="0"/>
    <n v="6"/>
    <m/>
    <m/>
    <n v="0"/>
    <n v="6"/>
    <m/>
    <m/>
    <n v="0"/>
    <n v="6"/>
    <m/>
    <m/>
    <n v="0"/>
    <n v="1"/>
    <m/>
    <m/>
    <n v="0"/>
    <n v="1"/>
    <n v="0"/>
    <m/>
    <m/>
    <n v="0"/>
    <m/>
    <n v="0"/>
    <n v="6"/>
    <x v="0"/>
    <x v="65"/>
  </r>
  <r>
    <s v="Twirling_Solo_SoloDance_Cadet_Beginner"/>
    <n v="57"/>
    <n v="2"/>
    <s v="Solo Dance"/>
    <s v="CADET"/>
    <s v="Beginner"/>
    <s v="Ana Omejc"/>
    <s v="MAŽORETNI IN TWIRLING KLUB KRANJ"/>
    <s v="Slovenia"/>
    <m/>
    <m/>
    <n v="0"/>
    <n v="1"/>
    <m/>
    <m/>
    <n v="0"/>
    <n v="1"/>
    <m/>
    <m/>
    <n v="0"/>
    <n v="1"/>
    <n v="12.3"/>
    <n v="0.5"/>
    <n v="11.8"/>
    <n v="1"/>
    <n v="12"/>
    <n v="0.5"/>
    <n v="11.5"/>
    <n v="1"/>
    <n v="23.3"/>
    <m/>
    <m/>
    <n v="23.3"/>
    <n v="12.15"/>
    <n v="23.3"/>
    <n v="1"/>
    <x v="0"/>
    <x v="66"/>
  </r>
  <r>
    <s v="Twirling_Solo_SoloDance_Cadet_Beginner"/>
    <n v="61"/>
    <n v="2"/>
    <s v="Solo Dance"/>
    <s v="CADET"/>
    <s v="Beginner"/>
    <s v="Mia Martinjaš"/>
    <s v="TWIRLING IN MAŽORETNI KLUB LUCIJA"/>
    <s v="Slovenia"/>
    <m/>
    <m/>
    <n v="0"/>
    <n v="1"/>
    <m/>
    <m/>
    <n v="0"/>
    <n v="1"/>
    <m/>
    <m/>
    <n v="0"/>
    <n v="1"/>
    <n v="12.3"/>
    <n v="0.5"/>
    <n v="11.8"/>
    <n v="1"/>
    <n v="11.3"/>
    <n v="0.5"/>
    <n v="10.8"/>
    <n v="2"/>
    <n v="22.6"/>
    <m/>
    <m/>
    <n v="22.6"/>
    <n v="11.8"/>
    <n v="22.6"/>
    <n v="2"/>
    <x v="0"/>
    <x v="67"/>
  </r>
  <r>
    <s v="Twirling_Solo_SoloDance_Cadet_Beginner"/>
    <n v="53"/>
    <n v="2"/>
    <s v="Solo Dance"/>
    <s v="CADET"/>
    <s v="Beginner"/>
    <s v="Lara Pečkaj"/>
    <s v="TWIRLING KLUB LOGAŠKIH MAŽORET"/>
    <s v="Slovenia"/>
    <m/>
    <m/>
    <n v="0"/>
    <n v="1"/>
    <m/>
    <m/>
    <n v="0"/>
    <n v="1"/>
    <m/>
    <m/>
    <n v="0"/>
    <n v="1"/>
    <n v="11.3"/>
    <m/>
    <n v="11.3"/>
    <n v="3"/>
    <n v="10.8"/>
    <m/>
    <n v="10.8"/>
    <n v="2"/>
    <n v="22.1"/>
    <m/>
    <m/>
    <n v="22.1"/>
    <n v="11.05"/>
    <n v="22.1"/>
    <n v="3"/>
    <x v="0"/>
    <x v="68"/>
  </r>
  <r>
    <s v="Twirling_Solo_SoloDance_Cadet_Beginner"/>
    <n v="69"/>
    <n v="2"/>
    <s v="Solo Dance"/>
    <s v="CADET"/>
    <s v="Beginner"/>
    <s v="Alen Skenderović"/>
    <s v="TWIRLING IN MAŽORETNI KLUB LUCIJA"/>
    <s v="Slovenia"/>
    <m/>
    <m/>
    <n v="0"/>
    <n v="1"/>
    <m/>
    <m/>
    <n v="0"/>
    <n v="1"/>
    <m/>
    <m/>
    <n v="0"/>
    <n v="1"/>
    <n v="11.8"/>
    <n v="1"/>
    <n v="10.8"/>
    <n v="4"/>
    <n v="10.6"/>
    <n v="1"/>
    <n v="9.6"/>
    <n v="6"/>
    <n v="20.399999999999999"/>
    <m/>
    <m/>
    <n v="20.399999999999999"/>
    <n v="11.2"/>
    <n v="20.399999999999999"/>
    <n v="4"/>
    <x v="0"/>
    <x v="69"/>
  </r>
  <r>
    <s v="Twirling_Solo_SoloDance_Cadet_Beginner"/>
    <n v="65"/>
    <n v="2"/>
    <s v="Solo Dance"/>
    <s v="CADET"/>
    <s v="Beginner"/>
    <s v="Yuna Žust"/>
    <s v="TWIRLING KLUB LOGAŠKIH MAŽORET"/>
    <s v="Slovenia"/>
    <m/>
    <m/>
    <n v="0"/>
    <n v="1"/>
    <m/>
    <m/>
    <n v="0"/>
    <n v="1"/>
    <m/>
    <m/>
    <n v="0"/>
    <n v="1"/>
    <n v="11"/>
    <n v="1"/>
    <n v="10"/>
    <n v="5"/>
    <n v="10.95"/>
    <n v="1"/>
    <n v="9.9499999999999993"/>
    <n v="4"/>
    <n v="19.95"/>
    <m/>
    <m/>
    <n v="19.95"/>
    <n v="10.975"/>
    <n v="19.95"/>
    <n v="5"/>
    <x v="0"/>
    <x v="70"/>
  </r>
  <r>
    <s v="Twirling_Solo_SoloDance_Cadet_Beginner"/>
    <n v="85"/>
    <n v="2"/>
    <s v="Solo Dance"/>
    <s v="CADET"/>
    <s v="Beginner"/>
    <s v="Nalia Žigon"/>
    <s v="MAŽORETNA IN TWIRLING SKUPINA PRVAČINA"/>
    <s v="Slovenia"/>
    <m/>
    <m/>
    <n v="0"/>
    <n v="1"/>
    <m/>
    <m/>
    <n v="0"/>
    <n v="1"/>
    <m/>
    <m/>
    <n v="0"/>
    <n v="1"/>
    <n v="10.4"/>
    <n v="0.5"/>
    <n v="9.9"/>
    <n v="6"/>
    <n v="10.3"/>
    <n v="0.5"/>
    <n v="9.8000000000000007"/>
    <n v="5"/>
    <n v="19.700000000000003"/>
    <m/>
    <m/>
    <n v="19.700000000000003"/>
    <n v="10.350000000000001"/>
    <n v="19.700000000000003"/>
    <n v="6"/>
    <x v="0"/>
    <x v="71"/>
  </r>
  <r>
    <s v="Twirling_Solo_SoloDance_Cadet_Beginner"/>
    <n v="51"/>
    <n v="2"/>
    <s v="Solo Dance"/>
    <s v="CADET"/>
    <s v="Beginner"/>
    <s v="Neža Neuvirt"/>
    <s v="TWIRLING, PLESNI IN MAŽORETNI KLUB LENART"/>
    <s v="Slovenia"/>
    <m/>
    <m/>
    <n v="0"/>
    <n v="1"/>
    <m/>
    <m/>
    <n v="0"/>
    <n v="1"/>
    <m/>
    <m/>
    <n v="0"/>
    <n v="1"/>
    <n v="10.199999999999999"/>
    <n v="0.5"/>
    <n v="9.6999999999999993"/>
    <n v="8"/>
    <n v="9.9"/>
    <n v="0.5"/>
    <n v="9.4"/>
    <n v="7"/>
    <n v="19.100000000000001"/>
    <m/>
    <m/>
    <n v="19.100000000000001"/>
    <n v="10.050000000000001"/>
    <n v="19.100000000000001"/>
    <n v="7"/>
    <x v="0"/>
    <x v="72"/>
  </r>
  <r>
    <s v="Twirling_Solo_SoloDance_Cadet_Beginner"/>
    <n v="79"/>
    <n v="2"/>
    <s v="Solo Dance"/>
    <s v="CADET"/>
    <s v="Beginner"/>
    <s v="Laura Harej"/>
    <s v="MAŽORETNA IN TWIRLING SKUPINA PRVAČINA"/>
    <s v="Slovenia"/>
    <m/>
    <m/>
    <n v="0"/>
    <n v="1"/>
    <m/>
    <m/>
    <n v="0"/>
    <n v="1"/>
    <m/>
    <m/>
    <n v="0"/>
    <n v="1"/>
    <n v="9.8000000000000007"/>
    <m/>
    <n v="9.8000000000000007"/>
    <n v="7"/>
    <n v="9.1999999999999993"/>
    <m/>
    <n v="9.1999999999999993"/>
    <n v="8"/>
    <n v="19"/>
    <m/>
    <m/>
    <n v="19"/>
    <n v="9.5"/>
    <n v="19"/>
    <n v="8"/>
    <x v="0"/>
    <x v="73"/>
  </r>
  <r>
    <s v="Twirling_Solo_SoloDance_Cadet_Beginner"/>
    <n v="55"/>
    <n v="2"/>
    <s v="Solo Dance"/>
    <s v="CADET"/>
    <s v="Beginner"/>
    <s v="Taniša Gabrovec"/>
    <s v="MAŽORETNI IN TWIRLING KLUB KRANJ"/>
    <s v="Slovenia"/>
    <m/>
    <m/>
    <n v="0"/>
    <n v="1"/>
    <m/>
    <m/>
    <n v="0"/>
    <n v="1"/>
    <m/>
    <m/>
    <n v="0"/>
    <n v="1"/>
    <n v="9.6"/>
    <n v="0.5"/>
    <n v="9.1"/>
    <n v="10"/>
    <n v="9.5"/>
    <n v="0.5"/>
    <n v="9"/>
    <n v="9"/>
    <n v="18.100000000000001"/>
    <m/>
    <m/>
    <n v="18.100000000000001"/>
    <n v="9.5500000000000007"/>
    <n v="18.100000000000001"/>
    <n v="9"/>
    <x v="0"/>
    <x v="74"/>
  </r>
  <r>
    <s v="Twirling_Solo_SoloDance_Cadet_Beginner"/>
    <n v="59"/>
    <n v="2"/>
    <s v="Solo Dance"/>
    <s v="CADET"/>
    <s v="Beginner"/>
    <s v="Veronika Bavčar Šatej"/>
    <s v="MAŽORETNA IN TWIRLING SKUPINA PRVAČINA"/>
    <s v="Slovenia"/>
    <m/>
    <m/>
    <n v="0"/>
    <n v="1"/>
    <m/>
    <m/>
    <n v="0"/>
    <n v="1"/>
    <m/>
    <m/>
    <n v="0"/>
    <n v="1"/>
    <n v="9"/>
    <m/>
    <n v="9"/>
    <n v="11"/>
    <n v="8.6999999999999993"/>
    <m/>
    <n v="8.6999999999999993"/>
    <n v="10"/>
    <n v="17.7"/>
    <m/>
    <m/>
    <n v="17.7"/>
    <n v="8.85"/>
    <n v="17.7"/>
    <n v="10"/>
    <x v="0"/>
    <x v="75"/>
  </r>
  <r>
    <s v="Twirling_Solo_SoloDance_Cadet_Beginner"/>
    <n v="86"/>
    <n v="2"/>
    <s v="Solo Dance"/>
    <s v="CADET"/>
    <s v="Beginner"/>
    <s v="Ula Stojanović Bizjak"/>
    <s v="MAŽORETNI IN TWIRLING KLUB KRANJ"/>
    <s v="Slovenia"/>
    <m/>
    <m/>
    <n v="0"/>
    <n v="1"/>
    <m/>
    <m/>
    <n v="0"/>
    <n v="1"/>
    <m/>
    <m/>
    <n v="0"/>
    <n v="1"/>
    <n v="9.1999999999999993"/>
    <m/>
    <n v="9.1999999999999993"/>
    <n v="9"/>
    <n v="8.5"/>
    <m/>
    <n v="8.5"/>
    <n v="11"/>
    <n v="17.7"/>
    <m/>
    <m/>
    <n v="17.7"/>
    <n v="8.85"/>
    <n v="17.7"/>
    <n v="10"/>
    <x v="0"/>
    <x v="76"/>
  </r>
  <r>
    <s v="Twirling_Solo_SoloDance_Cadet_Beginner"/>
    <n v="83"/>
    <n v="2"/>
    <s v="Solo Dance"/>
    <s v="CADET"/>
    <s v="Beginner"/>
    <s v="Taja Gubanec"/>
    <s v="TWIRLING KLUB LOGAŠKIH MAŽORET"/>
    <s v="Slovenia"/>
    <m/>
    <m/>
    <n v="0"/>
    <n v="1"/>
    <m/>
    <m/>
    <n v="0"/>
    <n v="1"/>
    <m/>
    <m/>
    <n v="0"/>
    <n v="1"/>
    <n v="9.5"/>
    <n v="0.5"/>
    <n v="9"/>
    <n v="11"/>
    <n v="8.75"/>
    <n v="0.5"/>
    <n v="8.25"/>
    <n v="12"/>
    <n v="17.25"/>
    <m/>
    <m/>
    <n v="17.25"/>
    <n v="9.125"/>
    <n v="17.25"/>
    <n v="12"/>
    <x v="0"/>
    <x v="77"/>
  </r>
  <r>
    <s v="Twirling_Solo_SoloDance_Cadet_Beginner"/>
    <n v="77"/>
    <n v="2"/>
    <s v="Solo Dance"/>
    <s v="CADET"/>
    <s v="Beginner"/>
    <s v="Taja Premrl"/>
    <s v="MAŽORETNA IN TWIRLING SKUPINA PRVAČINA"/>
    <s v="Slovenia"/>
    <m/>
    <m/>
    <n v="0"/>
    <n v="1"/>
    <m/>
    <m/>
    <n v="0"/>
    <n v="1"/>
    <m/>
    <m/>
    <n v="0"/>
    <n v="1"/>
    <n v="9.4"/>
    <n v="0.5"/>
    <n v="8.9"/>
    <n v="13"/>
    <n v="8.35"/>
    <n v="0.5"/>
    <n v="7.85"/>
    <n v="13"/>
    <n v="16.75"/>
    <m/>
    <m/>
    <n v="16.75"/>
    <n v="8.875"/>
    <n v="16.75"/>
    <n v="13"/>
    <x v="0"/>
    <x v="78"/>
  </r>
  <r>
    <s v="Twirling_Solo_SoloDance_Cadet_Beginner"/>
    <n v="63"/>
    <n v="2"/>
    <s v="Solo Dance"/>
    <s v="CADET"/>
    <s v="Beginner"/>
    <s v="Nika Mubi"/>
    <s v="MAŽORETNI IN TWIRLING KLUB KRANJ"/>
    <s v="Slovenia"/>
    <m/>
    <m/>
    <n v="0"/>
    <n v="1"/>
    <m/>
    <m/>
    <n v="0"/>
    <n v="1"/>
    <m/>
    <m/>
    <n v="0"/>
    <n v="1"/>
    <n v="9.3000000000000007"/>
    <n v="0.5"/>
    <n v="8.8000000000000007"/>
    <n v="14"/>
    <n v="8.3000000000000007"/>
    <n v="0.5"/>
    <n v="7.8000000000000007"/>
    <n v="14"/>
    <n v="16.600000000000001"/>
    <m/>
    <m/>
    <n v="16.600000000000001"/>
    <n v="8.8000000000000007"/>
    <n v="16.600000000000001"/>
    <n v="14"/>
    <x v="0"/>
    <x v="79"/>
  </r>
  <r>
    <s v="Twirling_Solo_SoloDance_Cadet_Beginner"/>
    <n v="81"/>
    <n v="2"/>
    <s v="Solo Dance"/>
    <s v="CADET"/>
    <s v="Beginner"/>
    <s v="Katarina Čurin"/>
    <s v="TWIRLING IN MAŽORETNI KLUB LUCIJA"/>
    <s v="Slovenia"/>
    <m/>
    <m/>
    <n v="0"/>
    <n v="1"/>
    <m/>
    <m/>
    <n v="0"/>
    <n v="1"/>
    <m/>
    <m/>
    <n v="0"/>
    <n v="1"/>
    <n v="9.1"/>
    <n v="0.5"/>
    <n v="8.6"/>
    <n v="15"/>
    <n v="7.75"/>
    <n v="0.5"/>
    <n v="7.25"/>
    <n v="16"/>
    <n v="15.85"/>
    <m/>
    <m/>
    <n v="15.85"/>
    <n v="8.4250000000000007"/>
    <n v="15.85"/>
    <n v="15"/>
    <x v="0"/>
    <x v="80"/>
  </r>
  <r>
    <s v="Twirling_Solo_SoloDance_Cadet_Beginner"/>
    <n v="67"/>
    <n v="2"/>
    <s v="Solo Dance"/>
    <s v="CADET"/>
    <s v="Beginner"/>
    <s v="Lana Nardin Bizjak"/>
    <s v="MAŽORETNA IN TWIRLING SKUPINA PRVAČINA"/>
    <s v="Slovenia"/>
    <m/>
    <m/>
    <n v="0"/>
    <n v="1"/>
    <m/>
    <m/>
    <n v="0"/>
    <n v="1"/>
    <m/>
    <m/>
    <n v="0"/>
    <n v="1"/>
    <n v="7.8"/>
    <m/>
    <n v="7.8"/>
    <n v="17"/>
    <n v="7.6"/>
    <m/>
    <n v="7.6"/>
    <n v="15"/>
    <n v="15.399999999999999"/>
    <m/>
    <m/>
    <n v="15.399999999999999"/>
    <n v="7.6999999999999993"/>
    <n v="15.399999999999999"/>
    <n v="16"/>
    <x v="0"/>
    <x v="81"/>
  </r>
  <r>
    <s v="Twirling_Solo_SoloDance_Cadet_Beginner"/>
    <n v="49"/>
    <n v="2"/>
    <s v="Solo Dance"/>
    <s v="CADET"/>
    <s v="Beginner"/>
    <s v="Maja Ivezić"/>
    <s v="TWIRLING IN MAŽORETNI KLUB LUCIJA"/>
    <s v="Slovenia"/>
    <m/>
    <m/>
    <n v="0"/>
    <n v="1"/>
    <m/>
    <m/>
    <n v="0"/>
    <n v="1"/>
    <m/>
    <m/>
    <n v="0"/>
    <n v="1"/>
    <n v="9.4"/>
    <n v="1.5"/>
    <n v="7.9"/>
    <n v="16"/>
    <n v="8.1999999999999993"/>
    <n v="1.5"/>
    <n v="6.6999999999999993"/>
    <n v="17"/>
    <n v="14.6"/>
    <m/>
    <m/>
    <n v="14.6"/>
    <n v="8.8000000000000007"/>
    <n v="14.6"/>
    <n v="17"/>
    <x v="0"/>
    <x v="82"/>
  </r>
  <r>
    <s v="Twirling_Solo_SoloDance_Cadet_Beginner"/>
    <n v="71"/>
    <n v="2"/>
    <s v="Solo Dance"/>
    <s v="CADET"/>
    <s v="Beginner"/>
    <s v="Eva Gabrijelčič"/>
    <s v="TWIRLING-MAŽORETNO DRUŠTVO NOVA GORICA"/>
    <s v="Slovenia"/>
    <m/>
    <m/>
    <n v="0"/>
    <n v="1"/>
    <m/>
    <m/>
    <n v="0"/>
    <n v="1"/>
    <m/>
    <m/>
    <n v="0"/>
    <n v="1"/>
    <n v="7.7"/>
    <m/>
    <n v="7.7"/>
    <n v="18"/>
    <n v="6.65"/>
    <m/>
    <n v="6.65"/>
    <n v="18"/>
    <n v="14.350000000000001"/>
    <m/>
    <m/>
    <n v="14.350000000000001"/>
    <n v="7.1750000000000007"/>
    <n v="14.350000000000001"/>
    <n v="18"/>
    <x v="0"/>
    <x v="83"/>
  </r>
  <r>
    <s v="Twirling_Solo_SoloDance_Cadet_Beginner"/>
    <n v="75"/>
    <n v="2"/>
    <s v="Solo Dance"/>
    <s v="CADET"/>
    <s v="Beginner"/>
    <s v="Katarina Zajec"/>
    <s v="MAŽORETNI IN TWIRLING KLUB KRANJ"/>
    <s v="Slovenia"/>
    <m/>
    <m/>
    <n v="0"/>
    <n v="1"/>
    <m/>
    <m/>
    <n v="0"/>
    <n v="1"/>
    <m/>
    <m/>
    <n v="0"/>
    <n v="1"/>
    <n v="9.1"/>
    <n v="1.5"/>
    <n v="7.6"/>
    <n v="19"/>
    <n v="8.15"/>
    <n v="1.5"/>
    <n v="6.65"/>
    <n v="18"/>
    <n v="14.25"/>
    <m/>
    <m/>
    <n v="14.25"/>
    <n v="8.625"/>
    <n v="14.25"/>
    <n v="19"/>
    <x v="0"/>
    <x v="84"/>
  </r>
  <r>
    <s v="Twirling_Solo_SoloDance_Cadet_Beginner"/>
    <n v="73"/>
    <n v="2"/>
    <s v="Solo Dance"/>
    <s v="CADET"/>
    <s v="Beginner"/>
    <s v="Zarja Perko"/>
    <s v="TWIRLING, PLESNI IN MAŽORETNI KLUB LENART"/>
    <s v="Slovenia"/>
    <m/>
    <m/>
    <n v="0"/>
    <n v="1"/>
    <m/>
    <m/>
    <n v="0"/>
    <n v="1"/>
    <m/>
    <m/>
    <n v="0"/>
    <n v="1"/>
    <n v="7.8"/>
    <n v="1.5"/>
    <n v="6.3"/>
    <n v="20"/>
    <n v="7.8"/>
    <n v="1.5"/>
    <n v="6.3"/>
    <n v="20"/>
    <n v="12.6"/>
    <m/>
    <m/>
    <n v="12.6"/>
    <n v="7.8"/>
    <n v="12.6"/>
    <n v="20"/>
    <x v="0"/>
    <x v="85"/>
  </r>
  <r>
    <s v="Twirling_Solo_SoloDance_Cadet_Intermediate"/>
    <n v="98"/>
    <n v="2"/>
    <s v="Solo Dance"/>
    <s v="CADET"/>
    <s v="Intermediate"/>
    <s v="Klara Nagode"/>
    <s v="TWIRLING KLUB LOGAŠKIH MAŽORET"/>
    <s v="Slovenia"/>
    <m/>
    <m/>
    <n v="0"/>
    <n v="1"/>
    <m/>
    <m/>
    <n v="0"/>
    <n v="1"/>
    <n v="22.9"/>
    <n v="0.5"/>
    <n v="22.4"/>
    <n v="1"/>
    <n v="18.399999999999999"/>
    <n v="0.5"/>
    <n v="17.899999999999999"/>
    <n v="1"/>
    <n v="19"/>
    <n v="0.5"/>
    <n v="18.5"/>
    <n v="1"/>
    <n v="58.8"/>
    <m/>
    <m/>
    <n v="58.8"/>
    <n v="20.099999999999998"/>
    <n v="58.8"/>
    <n v="1"/>
    <x v="0"/>
    <x v="86"/>
  </r>
  <r>
    <s v="Twirling_Solo_SoloDance_Cadet_Intermediate"/>
    <n v="100"/>
    <n v="2"/>
    <s v="Solo Dance"/>
    <s v="CADET"/>
    <s v="Intermediate"/>
    <s v="Klara Gorenszach"/>
    <s v="TWIRLING-MAŽORETNO DRUŠTVO NOVA GORICA"/>
    <s v="Slovenia"/>
    <m/>
    <m/>
    <n v="0"/>
    <n v="1"/>
    <m/>
    <m/>
    <n v="0"/>
    <n v="1"/>
    <n v="21.5"/>
    <n v="1.5"/>
    <n v="20"/>
    <n v="2"/>
    <n v="18.3"/>
    <n v="1.5"/>
    <n v="16.8"/>
    <n v="2"/>
    <n v="18.3"/>
    <n v="1.5"/>
    <n v="16.8"/>
    <n v="2"/>
    <n v="53.599999999999994"/>
    <m/>
    <m/>
    <n v="53.599999999999994"/>
    <n v="19.366666666666664"/>
    <n v="53.599999999999994"/>
    <n v="2"/>
    <x v="0"/>
    <x v="87"/>
  </r>
  <r>
    <s v="Twirling_Solo_SoloDance_Cadet_Intermediate"/>
    <n v="90"/>
    <n v="2"/>
    <s v="Solo Dance"/>
    <s v="CADET"/>
    <s v="Intermediate"/>
    <s v="Ana Grbec"/>
    <s v="TWIRLING KLUB LOGAŠKIH MAŽORET"/>
    <s v="Slovenia"/>
    <m/>
    <m/>
    <n v="0"/>
    <n v="1"/>
    <m/>
    <m/>
    <n v="0"/>
    <n v="1"/>
    <n v="17.7"/>
    <n v="1"/>
    <n v="16.7"/>
    <n v="4"/>
    <n v="16.600000000000001"/>
    <n v="1"/>
    <n v="15.600000000000001"/>
    <n v="4"/>
    <n v="17.7"/>
    <n v="1"/>
    <n v="16.7"/>
    <n v="3"/>
    <n v="49"/>
    <m/>
    <m/>
    <n v="49"/>
    <n v="17.333333333333332"/>
    <n v="49"/>
    <n v="3"/>
    <x v="0"/>
    <x v="88"/>
  </r>
  <r>
    <s v="Twirling_Solo_SoloDance_Cadet_Intermediate"/>
    <n v="94"/>
    <n v="2"/>
    <s v="Solo Dance"/>
    <s v="CADET"/>
    <s v="Intermediate"/>
    <s v="Kristina Baloh Stojčovski"/>
    <s v="MAŽORETNI IN TWIRLING KLUB KRANJ"/>
    <s v="Slovenia"/>
    <m/>
    <m/>
    <n v="0"/>
    <n v="1"/>
    <m/>
    <m/>
    <n v="0"/>
    <n v="1"/>
    <n v="18"/>
    <n v="1"/>
    <n v="17"/>
    <n v="3"/>
    <n v="16.899999999999999"/>
    <n v="1"/>
    <n v="15.899999999999999"/>
    <n v="3"/>
    <n v="16.7"/>
    <n v="1"/>
    <n v="15.7"/>
    <n v="4"/>
    <n v="48.599999999999994"/>
    <m/>
    <m/>
    <n v="48.599999999999994"/>
    <n v="17.2"/>
    <n v="48.599999999999994"/>
    <n v="4"/>
    <x v="0"/>
    <x v="89"/>
  </r>
  <r>
    <s v="Twirling_Solo_SoloDance_Cadet_Intermediate"/>
    <n v="88"/>
    <n v="2"/>
    <s v="Solo Dance"/>
    <s v="CADET"/>
    <s v="Intermediate"/>
    <s v="Ajda Perko"/>
    <s v="TWIRLING, PLESNI IN MAŽORETNI KLUB LENART"/>
    <s v="Slovenia"/>
    <m/>
    <m/>
    <n v="0"/>
    <n v="1"/>
    <m/>
    <m/>
    <n v="0"/>
    <n v="1"/>
    <n v="17.3"/>
    <n v="1"/>
    <n v="16.3"/>
    <n v="5"/>
    <n v="15.4"/>
    <n v="1"/>
    <n v="14.4"/>
    <n v="7"/>
    <n v="11.9"/>
    <n v="1"/>
    <n v="10.9"/>
    <n v="7"/>
    <n v="41.6"/>
    <m/>
    <m/>
    <n v="41.6"/>
    <n v="14.866666666666667"/>
    <n v="41.6"/>
    <n v="5"/>
    <x v="0"/>
    <x v="90"/>
  </r>
  <r>
    <s v="Twirling_Solo_SoloDance_Cadet_Intermediate"/>
    <n v="92"/>
    <n v="2"/>
    <s v="Solo Dance"/>
    <s v="CADET"/>
    <s v="Intermediate"/>
    <s v="Taja Krmec"/>
    <s v="MAŽORETNI IN TWIRLING KLUB KRANJ"/>
    <s v="Slovenia"/>
    <m/>
    <m/>
    <n v="0"/>
    <n v="1"/>
    <m/>
    <m/>
    <n v="0"/>
    <n v="1"/>
    <n v="15.3"/>
    <n v="0.5"/>
    <n v="14.8"/>
    <n v="6"/>
    <n v="15.1"/>
    <n v="0.5"/>
    <n v="14.6"/>
    <n v="6"/>
    <n v="11.7"/>
    <n v="0.5"/>
    <n v="11.2"/>
    <n v="6"/>
    <n v="40.599999999999994"/>
    <m/>
    <m/>
    <n v="40.599999999999994"/>
    <n v="14.033333333333331"/>
    <n v="40.599999999999994"/>
    <n v="6"/>
    <x v="0"/>
    <x v="91"/>
  </r>
  <r>
    <s v="Twirling_Solo_SoloDance_Cadet_Intermediate"/>
    <n v="102"/>
    <n v="2"/>
    <s v="Solo Dance"/>
    <s v="CADET"/>
    <s v="Intermediate"/>
    <s v="Julija Neuvirt"/>
    <s v="TWIRLING, PLESNI IN MAŽORETNI KLUB LENART"/>
    <s v="Slovenia"/>
    <m/>
    <m/>
    <n v="0"/>
    <n v="1"/>
    <m/>
    <m/>
    <n v="0"/>
    <n v="1"/>
    <n v="13.6"/>
    <n v="1.5"/>
    <n v="12.1"/>
    <n v="7"/>
    <n v="15.9"/>
    <n v="1.5"/>
    <n v="14.4"/>
    <n v="7"/>
    <n v="13.5"/>
    <n v="1.5"/>
    <n v="12"/>
    <n v="5"/>
    <n v="38.5"/>
    <m/>
    <m/>
    <n v="38.5"/>
    <n v="14.333333333333334"/>
    <n v="38.5"/>
    <n v="7"/>
    <x v="0"/>
    <x v="92"/>
  </r>
  <r>
    <s v="Twirling_Solo_SoloDance_Cadet_Intermediate"/>
    <n v="96"/>
    <n v="2"/>
    <s v="Solo Dance"/>
    <s v="CADET"/>
    <s v="Intermediate"/>
    <s v="Hanah Ela Žauhar"/>
    <s v="TWIRLING KLUB KRAPINA"/>
    <s v="Croatia"/>
    <m/>
    <m/>
    <n v="0"/>
    <n v="1"/>
    <m/>
    <m/>
    <n v="0"/>
    <n v="1"/>
    <n v="12.5"/>
    <n v="0.5"/>
    <n v="12"/>
    <n v="8"/>
    <n v="15.2"/>
    <n v="0.5"/>
    <n v="14.7"/>
    <n v="5"/>
    <n v="11.15"/>
    <n v="0.5"/>
    <n v="10.65"/>
    <n v="8"/>
    <n v="37.35"/>
    <m/>
    <m/>
    <n v="37.35"/>
    <n v="12.950000000000001"/>
    <n v="37.35"/>
    <n v="8"/>
    <x v="0"/>
    <x v="93"/>
  </r>
  <r>
    <s v="Twirling_Solo_SoloDance_Junior_Professional"/>
    <n v="130"/>
    <n v="2"/>
    <s v="Solo Dance"/>
    <s v="JUNIOR"/>
    <s v="Professional"/>
    <s v="Eneja Žerjal"/>
    <s v="TWIRLING-MAŽORETNO DRUŠTVO NOVA GORICA"/>
    <s v="Slovenia"/>
    <m/>
    <m/>
    <n v="0"/>
    <n v="1"/>
    <m/>
    <m/>
    <n v="0"/>
    <n v="1"/>
    <n v="34.299999999999997"/>
    <n v="4"/>
    <n v="30.299999999999997"/>
    <n v="1"/>
    <n v="32.700000000000003"/>
    <n v="4"/>
    <n v="28.700000000000003"/>
    <n v="1"/>
    <n v="28.7"/>
    <n v="4"/>
    <n v="24.7"/>
    <n v="1"/>
    <n v="83.7"/>
    <m/>
    <m/>
    <n v="83.7"/>
    <n v="31.900000000000002"/>
    <n v="83.7"/>
    <n v="1"/>
    <x v="0"/>
    <x v="94"/>
  </r>
  <r>
    <s v="Twirling_Solo_SoloDance_Senior_Beginner"/>
    <n v="125"/>
    <n v="1"/>
    <s v="Solo Dance"/>
    <s v="SENIOR"/>
    <s v="Beginner"/>
    <s v="Barbara Frankol"/>
    <s v="TWIRLING KLUB KRAPINA"/>
    <s v="Croatia"/>
    <n v="13.1"/>
    <n v="1"/>
    <n v="12.1"/>
    <n v="1"/>
    <n v="12.8"/>
    <n v="1"/>
    <n v="11.8"/>
    <n v="1"/>
    <m/>
    <m/>
    <n v="0"/>
    <n v="1"/>
    <m/>
    <m/>
    <n v="0"/>
    <n v="1"/>
    <m/>
    <m/>
    <n v="0"/>
    <n v="1"/>
    <n v="23.9"/>
    <m/>
    <m/>
    <n v="23.9"/>
    <n v="12.95"/>
    <n v="23.9"/>
    <n v="1"/>
    <x v="0"/>
    <x v="95"/>
  </r>
  <r>
    <s v="Twirling_Solo_SoloDance_Senior_Beginner"/>
    <n v="123"/>
    <n v="1"/>
    <s v="Solo Dance"/>
    <s v="SENIOR"/>
    <s v="Beginner"/>
    <s v="Teja Lorber"/>
    <s v="TWIRLING KLUB ANINIH MAŽORETK"/>
    <s v="Slovenia"/>
    <n v="11.8"/>
    <n v="2"/>
    <n v="9.8000000000000007"/>
    <n v="2"/>
    <n v="11.8"/>
    <n v="2"/>
    <n v="9.8000000000000007"/>
    <n v="2"/>
    <m/>
    <m/>
    <n v="0"/>
    <n v="1"/>
    <m/>
    <m/>
    <n v="0"/>
    <n v="1"/>
    <m/>
    <m/>
    <n v="0"/>
    <n v="1"/>
    <n v="19.600000000000001"/>
    <m/>
    <m/>
    <n v="19.600000000000001"/>
    <n v="11.8"/>
    <n v="19.600000000000001"/>
    <n v="2"/>
    <x v="0"/>
    <x v="96"/>
  </r>
  <r>
    <s v="Twirling_Solo_SoloDance_Senior_Professional"/>
    <n v="127"/>
    <n v="1"/>
    <s v="Solo Dance"/>
    <s v="SENIOR"/>
    <s v="Professional"/>
    <s v="Urša Horvat"/>
    <s v="MAŽORETNI TWIRLING IN PLESNI KLUB MACE"/>
    <s v="Slovenia"/>
    <n v="43.1"/>
    <n v="2"/>
    <n v="41.1"/>
    <n v="1"/>
    <n v="41.8"/>
    <n v="2"/>
    <n v="39.799999999999997"/>
    <n v="1"/>
    <m/>
    <m/>
    <n v="0"/>
    <n v="1"/>
    <m/>
    <m/>
    <n v="0"/>
    <n v="1"/>
    <m/>
    <m/>
    <n v="0"/>
    <n v="1"/>
    <n v="80.900000000000006"/>
    <m/>
    <m/>
    <n v="80.900000000000006"/>
    <n v="42.45"/>
    <n v="80.900000000000006"/>
    <n v="1"/>
    <x v="0"/>
    <x v="97"/>
  </r>
  <r>
    <s v="Twirling_Solo_SoloDance_Senior_Professional"/>
    <n v="129"/>
    <n v="1"/>
    <s v="Solo Dance"/>
    <s v="SENIOR"/>
    <s v="Professional"/>
    <s v="Tim Udovič"/>
    <s v="MAŽORETNI TWIRLING IN PLESNI KLUB MACE"/>
    <s v="Slovenia"/>
    <m/>
    <m/>
    <n v="0"/>
    <n v="2"/>
    <m/>
    <m/>
    <n v="0"/>
    <n v="2"/>
    <m/>
    <m/>
    <n v="0"/>
    <n v="1"/>
    <m/>
    <m/>
    <n v="0"/>
    <n v="1"/>
    <m/>
    <m/>
    <n v="0"/>
    <n v="1"/>
    <n v="0"/>
    <m/>
    <m/>
    <n v="0"/>
    <m/>
    <n v="0"/>
    <n v="2"/>
    <x v="0"/>
    <x v="98"/>
  </r>
  <r>
    <s v="Twirling_Solo_SoloDance_Junior_Beginner"/>
    <n v="112"/>
    <n v="2"/>
    <s v="Solo Dance"/>
    <s v="JUNIOR"/>
    <s v="Beginner"/>
    <s v="Teja Cotič"/>
    <s v="MAŽORETNA IN TWIRLING SKUPINA PRVAČINA"/>
    <s v="Slovenia"/>
    <m/>
    <m/>
    <n v="0"/>
    <n v="1"/>
    <m/>
    <m/>
    <n v="0"/>
    <n v="1"/>
    <n v="14.1"/>
    <n v="1"/>
    <n v="13.1"/>
    <n v="1"/>
    <n v="12.5"/>
    <n v="1"/>
    <n v="11.5"/>
    <n v="3"/>
    <n v="15.8"/>
    <n v="1"/>
    <n v="14.8"/>
    <n v="1"/>
    <n v="39.400000000000006"/>
    <m/>
    <m/>
    <n v="39.400000000000006"/>
    <n v="14.133333333333335"/>
    <n v="39.400000000000006"/>
    <n v="1"/>
    <x v="0"/>
    <x v="99"/>
  </r>
  <r>
    <s v="Twirling_Solo_SoloDance_Junior_Beginner"/>
    <n v="110"/>
    <n v="2"/>
    <s v="Solo Dance"/>
    <s v="JUNIOR"/>
    <s v="Beginner"/>
    <s v="Mateja Kruljc"/>
    <s v="TWIRLING-MAŽORETNO DRUŠTVO NOVA GORICA"/>
    <s v="Slovenia"/>
    <m/>
    <m/>
    <n v="0"/>
    <n v="1"/>
    <m/>
    <m/>
    <n v="0"/>
    <n v="1"/>
    <n v="12.2"/>
    <n v="0.5"/>
    <n v="11.7"/>
    <n v="4"/>
    <n v="12.5"/>
    <n v="0.5"/>
    <n v="12"/>
    <n v="1"/>
    <n v="11.35"/>
    <n v="0.5"/>
    <n v="10.85"/>
    <n v="4"/>
    <n v="34.549999999999997"/>
    <m/>
    <m/>
    <n v="34.549999999999997"/>
    <n v="12.016666666666666"/>
    <n v="34.549999999999997"/>
    <n v="2"/>
    <x v="0"/>
    <x v="100"/>
  </r>
  <r>
    <s v="Twirling_Solo_SoloDance_Junior_Beginner"/>
    <n v="106"/>
    <n v="2"/>
    <s v="Solo Dance"/>
    <s v="JUNIOR"/>
    <s v="Beginner"/>
    <s v="Manca Dovgan"/>
    <s v="MAŽORETNA IN TWIRLING SKUPINA PRVAČINA"/>
    <s v="Slovenia"/>
    <m/>
    <m/>
    <n v="0"/>
    <n v="1"/>
    <m/>
    <m/>
    <n v="0"/>
    <n v="1"/>
    <n v="12"/>
    <n v="0.5"/>
    <n v="11.5"/>
    <n v="5"/>
    <n v="12.4"/>
    <n v="0.5"/>
    <n v="11.9"/>
    <n v="2"/>
    <n v="11.5"/>
    <n v="0.5"/>
    <n v="11"/>
    <n v="3"/>
    <n v="34.4"/>
    <m/>
    <m/>
    <n v="34.4"/>
    <n v="11.966666666666667"/>
    <n v="34.4"/>
    <n v="3"/>
    <x v="0"/>
    <x v="101"/>
  </r>
  <r>
    <s v="Twirling_Solo_SoloDance_Junior_Beginner"/>
    <n v="116"/>
    <n v="2"/>
    <s v="Solo Dance"/>
    <s v="JUNIOR"/>
    <s v="Beginner"/>
    <s v="Ela Kramberger"/>
    <s v="TWIRLING KLUB ANINIH MAŽORETK"/>
    <s v="Slovenia"/>
    <m/>
    <m/>
    <n v="0"/>
    <n v="1"/>
    <m/>
    <m/>
    <n v="0"/>
    <n v="1"/>
    <n v="10.4"/>
    <n v="0.5"/>
    <n v="9.9"/>
    <n v="6"/>
    <n v="11.6"/>
    <n v="0.5"/>
    <n v="11.1"/>
    <n v="4"/>
    <n v="11.8"/>
    <n v="0.5"/>
    <n v="11.3"/>
    <n v="2"/>
    <n v="32.299999999999997"/>
    <m/>
    <m/>
    <n v="32.299999999999997"/>
    <n v="11.266666666666666"/>
    <n v="32.299999999999997"/>
    <n v="4"/>
    <x v="0"/>
    <x v="102"/>
  </r>
  <r>
    <s v="Twirling_Solo_SoloDance_Junior_Beginner"/>
    <n v="114"/>
    <n v="2"/>
    <s v="Solo Dance"/>
    <s v="JUNIOR"/>
    <s v="Beginner"/>
    <s v="Tia Perko"/>
    <s v="TWIRLING KLUB ANINIH MAŽORETK"/>
    <s v="Slovenia"/>
    <m/>
    <m/>
    <n v="0"/>
    <n v="1"/>
    <m/>
    <m/>
    <n v="0"/>
    <n v="1"/>
    <n v="14.3"/>
    <n v="2.5"/>
    <n v="11.8"/>
    <n v="3"/>
    <n v="13.3"/>
    <n v="2.5"/>
    <n v="10.8"/>
    <n v="5"/>
    <n v="11.6"/>
    <n v="2.5"/>
    <n v="9.1"/>
    <n v="5"/>
    <n v="31.700000000000003"/>
    <m/>
    <m/>
    <n v="31.700000000000003"/>
    <n v="13.066666666666668"/>
    <n v="31.700000000000003"/>
    <n v="5"/>
    <x v="0"/>
    <x v="103"/>
  </r>
  <r>
    <s v="Twirling_Solo_SoloDance_Junior_Beginner"/>
    <n v="104"/>
    <n v="2"/>
    <s v="Solo Dance"/>
    <s v="JUNIOR"/>
    <s v="Beginner"/>
    <s v="Tina Kobal"/>
    <s v="TWIRLING IN MAŽORETNI KLUB LUCIJA"/>
    <s v="Slovenia"/>
    <m/>
    <m/>
    <n v="0"/>
    <n v="1"/>
    <m/>
    <m/>
    <n v="0"/>
    <n v="1"/>
    <n v="12.5"/>
    <n v="0.5"/>
    <n v="12"/>
    <n v="2"/>
    <n v="10.199999999999999"/>
    <n v="0.5"/>
    <n v="9.6999999999999993"/>
    <n v="6"/>
    <n v="8.5"/>
    <n v="0.5"/>
    <n v="8"/>
    <n v="6"/>
    <n v="29.7"/>
    <m/>
    <m/>
    <n v="29.7"/>
    <n v="10.4"/>
    <n v="29.7"/>
    <n v="6"/>
    <x v="0"/>
    <x v="104"/>
  </r>
  <r>
    <s v="Twirling_Solo_SoloDance_Junior_Beginner"/>
    <n v="108"/>
    <n v="2"/>
    <s v="Solo Dance"/>
    <s v="JUNIOR"/>
    <s v="Beginner"/>
    <s v="Gabriela Markežič Požar"/>
    <s v="TWIRLING IN MAŽORETNI KLUB LUCIJA"/>
    <s v="Slovenia"/>
    <m/>
    <m/>
    <n v="0"/>
    <n v="1"/>
    <m/>
    <m/>
    <n v="0"/>
    <n v="1"/>
    <n v="10.9"/>
    <n v="2.5"/>
    <n v="8.4"/>
    <n v="7"/>
    <n v="11.2"/>
    <n v="2"/>
    <n v="9.1999999999999993"/>
    <n v="7"/>
    <n v="9.25"/>
    <n v="2.5"/>
    <n v="6.75"/>
    <n v="7"/>
    <n v="24.35"/>
    <m/>
    <m/>
    <n v="24.35"/>
    <n v="10.450000000000001"/>
    <n v="24.35"/>
    <n v="7"/>
    <x v="0"/>
    <x v="105"/>
  </r>
  <r>
    <s v="Twirling_Solo_SoloDance_Junior_Intermediate"/>
    <n v="93"/>
    <n v="1"/>
    <s v="Solo Dance"/>
    <s v="JUNIOR"/>
    <s v="Intermediate"/>
    <s v="Nina Ladava"/>
    <s v="TWIRLING-MAŽORETNO DRUŠTVO NOVA GORICA"/>
    <s v="Slovenia"/>
    <n v="38"/>
    <m/>
    <n v="38"/>
    <n v="1"/>
    <n v="38"/>
    <m/>
    <n v="38"/>
    <n v="1"/>
    <m/>
    <m/>
    <n v="0"/>
    <n v="1"/>
    <m/>
    <m/>
    <n v="0"/>
    <n v="1"/>
    <m/>
    <m/>
    <n v="0"/>
    <n v="1"/>
    <n v="76"/>
    <m/>
    <m/>
    <n v="76"/>
    <n v="38"/>
    <n v="76"/>
    <n v="1"/>
    <x v="0"/>
    <x v="106"/>
  </r>
  <r>
    <s v="Twirling_Solo_SoloDance_Junior_Intermediate"/>
    <n v="103"/>
    <n v="1"/>
    <s v="Solo Dance"/>
    <s v="JUNIOR"/>
    <s v="Intermediate"/>
    <s v="Eliza Skenderović"/>
    <s v="TWIRLING IN MAŽORETNI KLUB LUCIJA"/>
    <s v="Slovenia"/>
    <n v="28.5"/>
    <n v="0.5"/>
    <n v="28"/>
    <n v="2"/>
    <n v="27.7"/>
    <n v="0.5"/>
    <n v="27.2"/>
    <n v="2"/>
    <m/>
    <m/>
    <n v="0"/>
    <n v="1"/>
    <m/>
    <m/>
    <n v="0"/>
    <n v="1"/>
    <m/>
    <m/>
    <n v="0"/>
    <n v="1"/>
    <n v="55.2"/>
    <m/>
    <m/>
    <n v="55.2"/>
    <n v="28.1"/>
    <n v="55.2"/>
    <n v="2"/>
    <x v="0"/>
    <x v="107"/>
  </r>
  <r>
    <s v="Twirling_Solo_SoloDance_Junior_Intermediate"/>
    <n v="115"/>
    <n v="1"/>
    <s v="Solo Dance"/>
    <s v="JUNIOR"/>
    <s v="Intermediate"/>
    <s v="Sara Žabar"/>
    <s v="TWIRLING-MAŽORETNO DRUŠTVO NOVA GORICA"/>
    <s v="Slovenia"/>
    <n v="28.2"/>
    <n v="0.5"/>
    <n v="27.7"/>
    <n v="3"/>
    <n v="27.5"/>
    <n v="0.5"/>
    <n v="27"/>
    <n v="3"/>
    <m/>
    <m/>
    <n v="0"/>
    <n v="1"/>
    <m/>
    <m/>
    <n v="0"/>
    <n v="1"/>
    <m/>
    <m/>
    <n v="0"/>
    <n v="1"/>
    <n v="54.7"/>
    <m/>
    <m/>
    <n v="54.7"/>
    <n v="27.85"/>
    <n v="54.7"/>
    <n v="3"/>
    <x v="0"/>
    <x v="108"/>
  </r>
  <r>
    <s v="Twirling_Solo_SoloDance_Junior_Intermediate"/>
    <n v="109"/>
    <n v="1"/>
    <s v="Solo Dance"/>
    <s v="JUNIOR"/>
    <s v="Intermediate"/>
    <s v="Neja Kuzma"/>
    <s v="MAŽORETNI IN TWIRLING KLUB KRANJ"/>
    <s v="Slovenia"/>
    <n v="28.2"/>
    <n v="0.5"/>
    <n v="27.7"/>
    <n v="3"/>
    <n v="27.4"/>
    <n v="0.5"/>
    <n v="26.9"/>
    <n v="4"/>
    <m/>
    <m/>
    <n v="0"/>
    <n v="1"/>
    <m/>
    <m/>
    <n v="0"/>
    <n v="1"/>
    <m/>
    <m/>
    <n v="0"/>
    <n v="1"/>
    <n v="54.599999999999994"/>
    <m/>
    <m/>
    <n v="54.599999999999994"/>
    <n v="27.799999999999997"/>
    <n v="54.599999999999994"/>
    <n v="4"/>
    <x v="0"/>
    <x v="109"/>
  </r>
  <r>
    <s v="Twirling_Solo_SoloDance_Junior_Intermediate"/>
    <n v="105"/>
    <n v="1"/>
    <s v="Solo Dance"/>
    <s v="JUNIOR"/>
    <s v="Intermediate"/>
    <s v="Maša Slabe"/>
    <s v="TWIRLING KLUB LOGAŠKIH MAŽORET"/>
    <s v="Slovenia"/>
    <n v="27.9"/>
    <n v="0.5"/>
    <n v="27.4"/>
    <n v="5"/>
    <n v="26.9"/>
    <n v="0.5"/>
    <n v="26.4"/>
    <n v="5"/>
    <m/>
    <m/>
    <n v="0"/>
    <n v="1"/>
    <m/>
    <m/>
    <n v="0"/>
    <n v="1"/>
    <m/>
    <m/>
    <n v="0"/>
    <n v="1"/>
    <n v="53.8"/>
    <m/>
    <m/>
    <n v="53.8"/>
    <n v="27.4"/>
    <n v="53.8"/>
    <n v="5"/>
    <x v="0"/>
    <x v="110"/>
  </r>
  <r>
    <s v="Twirling_Solo_SoloDance_Junior_Intermediate"/>
    <n v="113"/>
    <n v="1"/>
    <s v="Solo Dance"/>
    <s v="JUNIOR"/>
    <s v="Intermediate"/>
    <s v="Mija Mihelj"/>
    <s v="TWIRLING-MAŽORETNO DRUŠTVO NOVA GORICA"/>
    <s v="Slovenia"/>
    <n v="28.1"/>
    <n v="1.5"/>
    <n v="26.6"/>
    <n v="6"/>
    <n v="27.8"/>
    <n v="1.5"/>
    <n v="26.3"/>
    <n v="6"/>
    <m/>
    <m/>
    <n v="0"/>
    <n v="1"/>
    <m/>
    <m/>
    <n v="0"/>
    <n v="1"/>
    <m/>
    <m/>
    <n v="0"/>
    <n v="1"/>
    <n v="52.900000000000006"/>
    <m/>
    <m/>
    <n v="52.900000000000006"/>
    <n v="27.950000000000003"/>
    <n v="52.900000000000006"/>
    <n v="6"/>
    <x v="0"/>
    <x v="111"/>
  </r>
  <r>
    <s v="Twirling_Solo_SoloDance_Junior_Intermediate"/>
    <n v="91"/>
    <n v="1"/>
    <s v="Solo Dance"/>
    <s v="JUNIOR"/>
    <s v="Intermediate"/>
    <s v="Zala Plesničar"/>
    <s v="TWIRLING-MAŽORETNO DRUŠTVO NOVA GORICA"/>
    <s v="Slovenia"/>
    <n v="26.5"/>
    <n v="1.5"/>
    <n v="25"/>
    <n v="7"/>
    <n v="26.4"/>
    <n v="1.5"/>
    <n v="24.9"/>
    <n v="7"/>
    <m/>
    <m/>
    <n v="0"/>
    <n v="1"/>
    <m/>
    <m/>
    <n v="0"/>
    <n v="1"/>
    <m/>
    <m/>
    <n v="0"/>
    <n v="1"/>
    <n v="49.9"/>
    <m/>
    <m/>
    <n v="49.9"/>
    <n v="26.45"/>
    <n v="49.9"/>
    <n v="7"/>
    <x v="0"/>
    <x v="112"/>
  </r>
  <r>
    <s v="Twirling_Solo_SoloDance_Junior_Intermediate"/>
    <n v="117"/>
    <n v="1"/>
    <s v="Solo Dance"/>
    <s v="JUNIOR"/>
    <s v="Intermediate"/>
    <s v="Tinka Hladnik"/>
    <s v="TWIRLING KLUB LOGAŠKIH MAŽORET"/>
    <s v="Slovenia"/>
    <n v="23"/>
    <n v="1.5"/>
    <n v="21.5"/>
    <n v="8"/>
    <n v="25.9"/>
    <n v="1.5"/>
    <n v="24.4"/>
    <n v="8"/>
    <m/>
    <m/>
    <n v="0"/>
    <n v="1"/>
    <m/>
    <m/>
    <n v="0"/>
    <n v="1"/>
    <m/>
    <m/>
    <n v="0"/>
    <n v="1"/>
    <n v="45.9"/>
    <m/>
    <m/>
    <n v="45.9"/>
    <n v="24.45"/>
    <n v="45.9"/>
    <n v="8"/>
    <x v="0"/>
    <x v="113"/>
  </r>
  <r>
    <s v="Twirling_Solo_SoloDance_Junior_Intermediate"/>
    <n v="95"/>
    <n v="1"/>
    <s v="Solo Dance"/>
    <s v="JUNIOR"/>
    <s v="Intermediate"/>
    <s v="Nina Galamić"/>
    <s v="MAŽORETNI TWIRLING IN PLESNI KLUB MACE"/>
    <s v="Slovenia"/>
    <n v="21.8"/>
    <n v="0.5"/>
    <n v="21.3"/>
    <n v="9"/>
    <n v="22"/>
    <n v="0.5"/>
    <n v="21.5"/>
    <n v="9"/>
    <m/>
    <m/>
    <n v="0"/>
    <n v="1"/>
    <m/>
    <m/>
    <n v="0"/>
    <n v="1"/>
    <m/>
    <m/>
    <n v="0"/>
    <n v="1"/>
    <n v="42.8"/>
    <m/>
    <m/>
    <n v="42.8"/>
    <n v="21.9"/>
    <n v="42.8"/>
    <n v="9"/>
    <x v="0"/>
    <x v="114"/>
  </r>
  <r>
    <s v="Twirling_Solo_SoloDance_Junior_Intermediate"/>
    <n v="101"/>
    <n v="1"/>
    <s v="Solo Dance"/>
    <s v="JUNIOR"/>
    <s v="Intermediate"/>
    <s v="Lia Nardin Bizjak"/>
    <s v="MAŽORETNA IN TWIRLING SKUPINA PRVAČINA"/>
    <s v="Slovenia"/>
    <n v="21.5"/>
    <n v="0.5"/>
    <n v="21"/>
    <n v="10"/>
    <n v="21.1"/>
    <n v="0.5"/>
    <n v="20.6"/>
    <n v="10"/>
    <m/>
    <m/>
    <n v="0"/>
    <n v="1"/>
    <m/>
    <m/>
    <n v="0"/>
    <n v="1"/>
    <m/>
    <m/>
    <n v="0"/>
    <n v="1"/>
    <n v="41.6"/>
    <m/>
    <m/>
    <n v="41.6"/>
    <n v="21.3"/>
    <n v="41.6"/>
    <n v="10"/>
    <x v="0"/>
    <x v="115"/>
  </r>
  <r>
    <s v="Twirling_Solo_SoloDance_Junior_Intermediate"/>
    <n v="121"/>
    <n v="1"/>
    <s v="Solo Dance"/>
    <s v="JUNIOR"/>
    <s v="Intermediate"/>
    <s v="Ula Levac Stančič"/>
    <s v="TWIRLING IN MAŽORETNI KLUB LUCIJA"/>
    <s v="Slovenia"/>
    <n v="23.1"/>
    <n v="2.5"/>
    <n v="20.6"/>
    <n v="11"/>
    <n v="20.8"/>
    <n v="2.5"/>
    <n v="18.3"/>
    <n v="12"/>
    <m/>
    <m/>
    <n v="0"/>
    <n v="1"/>
    <m/>
    <m/>
    <n v="0"/>
    <n v="1"/>
    <m/>
    <m/>
    <n v="0"/>
    <n v="1"/>
    <n v="38.900000000000006"/>
    <m/>
    <m/>
    <n v="38.900000000000006"/>
    <n v="21.950000000000003"/>
    <n v="38.900000000000006"/>
    <n v="11"/>
    <x v="0"/>
    <x v="116"/>
  </r>
  <r>
    <s v="Twirling_Solo_SoloDance_Junior_Intermediate"/>
    <n v="87"/>
    <n v="1"/>
    <s v="Solo Dance"/>
    <s v="JUNIOR"/>
    <s v="Intermediate"/>
    <s v="Eva Steinbacher"/>
    <s v="TWIRLING IN MAŽORETNI KLUB LUCIJA"/>
    <s v="Slovenia"/>
    <n v="21.6"/>
    <n v="2.5"/>
    <n v="19.100000000000001"/>
    <n v="12"/>
    <n v="21.2"/>
    <n v="2.5"/>
    <n v="18.7"/>
    <n v="11"/>
    <m/>
    <m/>
    <n v="0"/>
    <n v="1"/>
    <m/>
    <m/>
    <n v="0"/>
    <n v="1"/>
    <m/>
    <m/>
    <n v="0"/>
    <n v="1"/>
    <n v="37.799999999999997"/>
    <m/>
    <m/>
    <n v="37.799999999999997"/>
    <n v="21.4"/>
    <n v="37.799999999999997"/>
    <n v="12"/>
    <x v="0"/>
    <x v="117"/>
  </r>
  <r>
    <s v="Twirling_Solo_SoloDance_Junior_Intermediate"/>
    <n v="89"/>
    <n v="1"/>
    <s v="Solo Dance"/>
    <s v="JUNIOR"/>
    <s v="Intermediate"/>
    <s v="Maruša Dečman"/>
    <s v="TWIRLING KLUB LOGAŠKIH MAŽORET"/>
    <s v="Slovenia"/>
    <n v="18.8"/>
    <n v="1.5"/>
    <n v="17.3"/>
    <n v="13"/>
    <n v="19.399999999999999"/>
    <n v="1.5"/>
    <n v="17.899999999999999"/>
    <n v="13"/>
    <m/>
    <m/>
    <n v="0"/>
    <n v="1"/>
    <m/>
    <m/>
    <n v="0"/>
    <n v="1"/>
    <m/>
    <m/>
    <n v="0"/>
    <n v="1"/>
    <n v="35.200000000000003"/>
    <m/>
    <m/>
    <n v="35.200000000000003"/>
    <n v="19.100000000000001"/>
    <n v="35.200000000000003"/>
    <n v="13"/>
    <x v="0"/>
    <x v="118"/>
  </r>
  <r>
    <s v="Twirling_Solo_SoloDance_Junior_Intermediate"/>
    <n v="111"/>
    <n v="1"/>
    <s v="Solo Dance"/>
    <s v="JUNIOR"/>
    <s v="Intermediate"/>
    <s v="Gaja Čendak"/>
    <s v="TWIRLING IN MAŽORETNI KLUB LUCIJA"/>
    <s v="Slovenia"/>
    <n v="17.7"/>
    <n v="1.5"/>
    <n v="16.2"/>
    <n v="14"/>
    <n v="18.7"/>
    <n v="1.5"/>
    <n v="17.2"/>
    <n v="15"/>
    <m/>
    <m/>
    <n v="0"/>
    <n v="1"/>
    <m/>
    <m/>
    <n v="0"/>
    <n v="1"/>
    <m/>
    <m/>
    <n v="0"/>
    <n v="1"/>
    <n v="33.4"/>
    <m/>
    <m/>
    <n v="33.4"/>
    <n v="18.2"/>
    <n v="33.4"/>
    <n v="14"/>
    <x v="0"/>
    <x v="119"/>
  </r>
  <r>
    <s v="Twirling_Solo_SoloDance_Junior_Intermediate"/>
    <n v="99"/>
    <n v="1"/>
    <s v="Solo Dance"/>
    <s v="JUNIOR"/>
    <s v="Intermediate"/>
    <s v="Lana Memon"/>
    <s v="TWIRLING IN MAŽORETNI KLUB LUCIJA"/>
    <s v="Slovenia"/>
    <n v="17.100000000000001"/>
    <n v="2"/>
    <n v="15.100000000000001"/>
    <n v="15"/>
    <n v="19.399999999999999"/>
    <n v="2"/>
    <n v="17.399999999999999"/>
    <n v="14"/>
    <m/>
    <m/>
    <n v="0"/>
    <n v="1"/>
    <m/>
    <m/>
    <n v="0"/>
    <n v="1"/>
    <m/>
    <m/>
    <n v="0"/>
    <n v="1"/>
    <n v="32.5"/>
    <m/>
    <m/>
    <n v="32.5"/>
    <n v="18.25"/>
    <n v="32.5"/>
    <n v="15"/>
    <x v="0"/>
    <x v="120"/>
  </r>
  <r>
    <s v="Twirling_Solo_SoloDance_Junior_Intermediate"/>
    <n v="107"/>
    <n v="1"/>
    <s v="Solo Dance"/>
    <s v="JUNIOR"/>
    <s v="Intermediate"/>
    <s v="Marija Španja"/>
    <s v="TWIRLING KLUB VODICE"/>
    <s v="Croatia"/>
    <n v="17"/>
    <n v="2"/>
    <n v="15"/>
    <n v="16"/>
    <n v="17.600000000000001"/>
    <n v="2"/>
    <n v="15.600000000000001"/>
    <n v="16"/>
    <m/>
    <m/>
    <n v="0"/>
    <n v="1"/>
    <m/>
    <m/>
    <n v="0"/>
    <n v="1"/>
    <m/>
    <m/>
    <n v="0"/>
    <n v="1"/>
    <n v="30.6"/>
    <m/>
    <m/>
    <n v="30.6"/>
    <n v="17.3"/>
    <n v="30.6"/>
    <n v="16"/>
    <x v="0"/>
    <x v="121"/>
  </r>
  <r>
    <s v="Twirling_Solo_SoloDance_Junior_Intermediate"/>
    <n v="119"/>
    <n v="1"/>
    <s v="Solo Dance"/>
    <s v="JUNIOR"/>
    <s v="Intermediate"/>
    <s v="Maja Bešvir"/>
    <s v="MAŽORETNA IN TWIRLING SKUPINA OBČINE PESNICA"/>
    <s v="Slovenia"/>
    <n v="15.4"/>
    <n v="3"/>
    <n v="12.4"/>
    <n v="17"/>
    <n v="17.399999999999999"/>
    <n v="3"/>
    <n v="14.399999999999999"/>
    <n v="17"/>
    <m/>
    <m/>
    <n v="0"/>
    <n v="1"/>
    <m/>
    <m/>
    <n v="0"/>
    <n v="1"/>
    <m/>
    <m/>
    <n v="0"/>
    <n v="1"/>
    <n v="26.799999999999997"/>
    <m/>
    <m/>
    <n v="26.799999999999997"/>
    <n v="16.399999999999999"/>
    <n v="26.799999999999997"/>
    <n v="17"/>
    <x v="0"/>
    <x v="122"/>
  </r>
  <r>
    <s v="Twirling_Solo_SoloDance_Junior_Intermediate"/>
    <n v="97"/>
    <n v="1"/>
    <s v="Solo Dance"/>
    <s v="JUNIOR"/>
    <s v="Intermediate"/>
    <s v="Eva Tišler"/>
    <s v="MAŽORETNA IN TWIRLING SKUPINA OBČINE PESNICA"/>
    <s v="Slovenia"/>
    <m/>
    <m/>
    <n v="0"/>
    <n v="18"/>
    <m/>
    <m/>
    <n v="0"/>
    <n v="18"/>
    <m/>
    <m/>
    <n v="0"/>
    <n v="1"/>
    <m/>
    <m/>
    <n v="0"/>
    <n v="1"/>
    <m/>
    <m/>
    <n v="0"/>
    <n v="1"/>
    <n v="0"/>
    <m/>
    <m/>
    <n v="0"/>
    <m/>
    <n v="0"/>
    <n v="18"/>
    <x v="0"/>
    <x v="123"/>
  </r>
  <r>
    <s v="Twirling_Solo_SoloDance_Junior_Advanced"/>
    <n v="120"/>
    <n v="2"/>
    <s v="Solo Dance"/>
    <s v="JUNIOR"/>
    <s v="Advanced"/>
    <s v="Michele Malović"/>
    <s v="TWIRLING-MAŽORETNO DRUŠTVO NOVA GORICA"/>
    <s v="Slovenia"/>
    <m/>
    <m/>
    <n v="0"/>
    <n v="1"/>
    <m/>
    <m/>
    <n v="0"/>
    <n v="1"/>
    <n v="35.5"/>
    <n v="0.5"/>
    <n v="35"/>
    <n v="1"/>
    <n v="27.3"/>
    <n v="0.5"/>
    <n v="26.8"/>
    <n v="1"/>
    <n v="24.7"/>
    <n v="0.5"/>
    <n v="24.2"/>
    <n v="2"/>
    <n v="86"/>
    <m/>
    <m/>
    <n v="86"/>
    <n v="29.166666666666668"/>
    <n v="86"/>
    <n v="1"/>
    <x v="0"/>
    <x v="124"/>
  </r>
  <r>
    <s v="Twirling_Solo_SoloDance_Junior_Advanced"/>
    <n v="128"/>
    <n v="2"/>
    <s v="Solo Dance"/>
    <s v="JUNIOR"/>
    <s v="Advanced"/>
    <s v="Iza Berzelak"/>
    <s v="TWIRLING KLUB LOGAŠKIH MAŽORET"/>
    <s v="Slovenia"/>
    <m/>
    <m/>
    <n v="0"/>
    <n v="1"/>
    <m/>
    <m/>
    <n v="0"/>
    <n v="1"/>
    <n v="31.4"/>
    <m/>
    <n v="31.4"/>
    <n v="3"/>
    <n v="26.7"/>
    <m/>
    <n v="26.7"/>
    <n v="2"/>
    <n v="24.95"/>
    <m/>
    <n v="24.95"/>
    <n v="1"/>
    <n v="83.05"/>
    <m/>
    <m/>
    <n v="83.05"/>
    <n v="27.683333333333334"/>
    <n v="83.05"/>
    <n v="2"/>
    <x v="0"/>
    <x v="125"/>
  </r>
  <r>
    <s v="Twirling_Solo_SoloDance_Junior_Advanced"/>
    <n v="124"/>
    <n v="2"/>
    <s v="Solo Dance"/>
    <s v="JUNIOR"/>
    <s v="Advanced"/>
    <s v="Teira Rupena"/>
    <s v="TWIRLING IN MAŽORETNI KLUB LUCIJA"/>
    <s v="Slovenia"/>
    <m/>
    <m/>
    <n v="0"/>
    <n v="1"/>
    <m/>
    <m/>
    <n v="0"/>
    <n v="1"/>
    <n v="31.4"/>
    <m/>
    <n v="31.4"/>
    <n v="3"/>
    <n v="26.7"/>
    <m/>
    <n v="26.7"/>
    <n v="2"/>
    <n v="23.9"/>
    <m/>
    <n v="23.9"/>
    <n v="3"/>
    <n v="82"/>
    <m/>
    <m/>
    <n v="82"/>
    <n v="27.333333333333332"/>
    <n v="82"/>
    <n v="3"/>
    <x v="0"/>
    <x v="126"/>
  </r>
  <r>
    <s v="Twirling_Solo_SoloDance_Junior_Advanced"/>
    <n v="126"/>
    <n v="2"/>
    <s v="Solo Dance"/>
    <s v="JUNIOR"/>
    <s v="Advanced"/>
    <s v="Sara Janjilović"/>
    <s v="TWIRLING-MAŽORETNO DRUŠTVO NOVA GORICA"/>
    <s v="Slovenia"/>
    <m/>
    <m/>
    <n v="0"/>
    <n v="1"/>
    <m/>
    <m/>
    <n v="0"/>
    <n v="1"/>
    <n v="32.5"/>
    <n v="0.5"/>
    <n v="32"/>
    <n v="2"/>
    <n v="26.4"/>
    <n v="0.5"/>
    <n v="25.9"/>
    <n v="4"/>
    <n v="24.35"/>
    <n v="1"/>
    <n v="23.35"/>
    <n v="4"/>
    <n v="81.25"/>
    <m/>
    <m/>
    <n v="81.25"/>
    <n v="27.75"/>
    <n v="81.25"/>
    <n v="4"/>
    <x v="0"/>
    <x v="127"/>
  </r>
  <r>
    <s v="Twirling_Solo_SoloDance_Junior_Advanced"/>
    <n v="122"/>
    <n v="2"/>
    <s v="Solo Dance"/>
    <s v="JUNIOR"/>
    <s v="Advanced"/>
    <s v="Nuša Nared"/>
    <s v="MAŽORETNI TWIRLING IN PLESNI KLUB MACE"/>
    <s v="Slovenia"/>
    <m/>
    <m/>
    <n v="0"/>
    <n v="1"/>
    <m/>
    <m/>
    <n v="0"/>
    <n v="1"/>
    <n v="27.9"/>
    <n v="2"/>
    <n v="25.9"/>
    <n v="5"/>
    <n v="26.4"/>
    <n v="2"/>
    <n v="24.4"/>
    <n v="5"/>
    <n v="23.2"/>
    <n v="2"/>
    <n v="21.2"/>
    <n v="5"/>
    <n v="71.5"/>
    <m/>
    <m/>
    <n v="71.5"/>
    <n v="25.833333333333332"/>
    <n v="71.5"/>
    <n v="5"/>
    <x v="0"/>
    <x v="128"/>
  </r>
  <r>
    <s v="Twirling_Solo_SoloDance_Junior_Advanced"/>
    <n v="118"/>
    <n v="2"/>
    <s v="Solo Dance"/>
    <s v="JUNIOR"/>
    <s v="Advanced"/>
    <s v="Leyla Eminović"/>
    <s v="TWIRLING IN MAŽORETNI KLUB LUCIJA"/>
    <s v="Slovenia"/>
    <m/>
    <m/>
    <n v="0"/>
    <n v="1"/>
    <m/>
    <m/>
    <n v="0"/>
    <n v="1"/>
    <n v="15.6"/>
    <n v="4"/>
    <n v="11.6"/>
    <n v="6"/>
    <n v="13.9"/>
    <n v="4"/>
    <n v="9.9"/>
    <n v="6"/>
    <n v="12"/>
    <n v="4"/>
    <n v="8"/>
    <n v="6"/>
    <n v="29.5"/>
    <m/>
    <m/>
    <n v="29.5"/>
    <n v="13.833333333333334"/>
    <n v="29.5"/>
    <n v="6"/>
    <x v="0"/>
    <x v="129"/>
  </r>
  <r>
    <s v="Twirling_Duet_DuetDance_Children"/>
    <n v="138"/>
    <n v="2"/>
    <s v="Duet Dance"/>
    <s v="CHILDREN"/>
    <s v="Single level"/>
    <s v="Pia Dacar-Brina Mugerli"/>
    <s v="MAŽORETNI IN TWIRLING KLUB KRANJ"/>
    <s v="Slovenia"/>
    <m/>
    <m/>
    <n v="0"/>
    <n v="1"/>
    <n v="70.099999999999994"/>
    <n v="1"/>
    <n v="69.099999999999994"/>
    <n v="1"/>
    <n v="70.099999999999994"/>
    <n v="1"/>
    <n v="69.099999999999994"/>
    <n v="1"/>
    <m/>
    <m/>
    <n v="0"/>
    <n v="1"/>
    <n v="63.2"/>
    <n v="1"/>
    <n v="62.2"/>
    <n v="1"/>
    <n v="200.39999999999998"/>
    <m/>
    <m/>
    <n v="200.39999999999998"/>
    <n v="67.8"/>
    <n v="200.39999999999998"/>
    <n v="1"/>
    <x v="1"/>
    <x v="130"/>
  </r>
  <r>
    <s v="Twirling_Duet_DuetDance_Children"/>
    <n v="136"/>
    <n v="2"/>
    <s v="Duet Dance"/>
    <s v="CHILDREN"/>
    <s v="Single level"/>
    <s v="Minea Vogrin-Lejla Morina"/>
    <s v="TWIRLING KLUB ANINIH MAŽORETK"/>
    <s v="Slovenia"/>
    <m/>
    <m/>
    <n v="0"/>
    <n v="1"/>
    <n v="69.7"/>
    <n v="1"/>
    <n v="68.7"/>
    <n v="2"/>
    <n v="69"/>
    <n v="1"/>
    <n v="68"/>
    <n v="2"/>
    <m/>
    <m/>
    <n v="0"/>
    <n v="1"/>
    <n v="60.8"/>
    <n v="1"/>
    <n v="59.8"/>
    <n v="3"/>
    <n v="196.5"/>
    <m/>
    <m/>
    <n v="196.5"/>
    <n v="66.5"/>
    <n v="196.5"/>
    <n v="2"/>
    <x v="1"/>
    <x v="131"/>
  </r>
  <r>
    <s v="Twirling_Duet_DuetDance_Children"/>
    <n v="132"/>
    <n v="2"/>
    <s v="Duet Dance"/>
    <s v="CHILDREN"/>
    <s v="Single level"/>
    <s v="Manca Sofija Medvedc-Maša Zorn"/>
    <s v="MAŽORETNA IN TWIRLING SKUPINA PRVAČINA"/>
    <s v="Slovenia"/>
    <m/>
    <m/>
    <n v="0"/>
    <n v="1"/>
    <n v="65.2"/>
    <m/>
    <n v="65.2"/>
    <n v="5"/>
    <n v="65.2"/>
    <m/>
    <n v="65.2"/>
    <n v="4"/>
    <m/>
    <m/>
    <n v="0"/>
    <n v="1"/>
    <n v="59.9"/>
    <m/>
    <n v="59.9"/>
    <n v="2"/>
    <n v="190.3"/>
    <m/>
    <m/>
    <n v="190.3"/>
    <n v="63.433333333333337"/>
    <n v="190.3"/>
    <n v="3"/>
    <x v="1"/>
    <x v="132"/>
  </r>
  <r>
    <s v="Twirling_Duet_DuetDance_Children"/>
    <n v="134"/>
    <n v="2"/>
    <s v="Duet Dance"/>
    <s v="CHILDREN"/>
    <s v="Single level"/>
    <s v="Eneja Muršec-Alja Kaučič"/>
    <s v="TWIRLING KLUB ANINIH MAŽORETK"/>
    <s v="Slovenia"/>
    <m/>
    <m/>
    <n v="0"/>
    <n v="1"/>
    <n v="67"/>
    <n v="1.5"/>
    <n v="65.5"/>
    <n v="3"/>
    <n v="67.2"/>
    <n v="1.5"/>
    <n v="65.7"/>
    <n v="3"/>
    <m/>
    <m/>
    <n v="0"/>
    <n v="1"/>
    <n v="58.4"/>
    <n v="1.5"/>
    <n v="56.9"/>
    <n v="4"/>
    <n v="188.1"/>
    <m/>
    <m/>
    <n v="188.1"/>
    <n v="64.2"/>
    <n v="188.1"/>
    <n v="4"/>
    <x v="1"/>
    <x v="133"/>
  </r>
  <r>
    <s v="Twirling_Duet_DuetDance_Children"/>
    <n v="140"/>
    <n v="2"/>
    <s v="Duet Dance"/>
    <s v="CHILDREN"/>
    <s v="Single level"/>
    <s v="Mia Komac-Nina Nabergoj"/>
    <s v="MAŽORETNA IN TWIRLING SKUPINA PRVAČINA"/>
    <s v="Slovenia"/>
    <m/>
    <m/>
    <n v="0"/>
    <n v="1"/>
    <n v="66.3"/>
    <n v="1"/>
    <n v="65.3"/>
    <n v="4"/>
    <n v="65.599999999999994"/>
    <n v="1"/>
    <n v="64.599999999999994"/>
    <n v="5"/>
    <m/>
    <m/>
    <n v="0"/>
    <n v="1"/>
    <n v="57.7"/>
    <n v="1"/>
    <n v="56.7"/>
    <n v="5"/>
    <n v="186.59999999999997"/>
    <m/>
    <m/>
    <n v="186.59999999999997"/>
    <n v="63.199999999999989"/>
    <n v="186.59999999999997"/>
    <n v="5"/>
    <x v="1"/>
    <x v="134"/>
  </r>
  <r>
    <s v="Twirling_Duet_DuetDance_Children"/>
    <n v="142"/>
    <n v="2"/>
    <s v="Duet Dance"/>
    <s v="CHILDREN"/>
    <s v="Single level"/>
    <s v="Neža Božnar-Klara Peternel"/>
    <s v="MAŽORETNI IN TWIRLING KLUB KRANJ"/>
    <s v="Slovenia"/>
    <m/>
    <m/>
    <n v="0"/>
    <n v="1"/>
    <n v="63.4"/>
    <n v="1"/>
    <n v="62.4"/>
    <n v="6"/>
    <n v="64.8"/>
    <n v="1"/>
    <n v="63.8"/>
    <n v="6"/>
    <m/>
    <m/>
    <n v="0"/>
    <n v="1"/>
    <n v="57.6"/>
    <n v="1"/>
    <n v="56.6"/>
    <n v="6"/>
    <n v="182.79999999999998"/>
    <m/>
    <m/>
    <n v="182.79999999999998"/>
    <n v="61.93333333333333"/>
    <n v="182.79999999999998"/>
    <n v="6"/>
    <x v="1"/>
    <x v="135"/>
  </r>
  <r>
    <s v="Twirling_Duet_DuetDance_Cadet_Lower_Level"/>
    <n v="149"/>
    <n v="1"/>
    <s v="Duet Dance"/>
    <s v="CADET"/>
    <s v="Lower level"/>
    <s v="Ajda Perko-Julija Neuvirt"/>
    <s v="TWIRLING, PLESNI IN MAŽORETNI KLUB LENART"/>
    <s v="Slovenia"/>
    <n v="74.7"/>
    <n v="0.5"/>
    <n v="74.2"/>
    <n v="1"/>
    <m/>
    <m/>
    <n v="0"/>
    <n v="1"/>
    <m/>
    <m/>
    <n v="0"/>
    <n v="1"/>
    <n v="75.400000000000006"/>
    <n v="0.5"/>
    <n v="74.900000000000006"/>
    <n v="1"/>
    <m/>
    <m/>
    <n v="0"/>
    <n v="1"/>
    <n v="149.10000000000002"/>
    <m/>
    <m/>
    <n v="149.10000000000002"/>
    <n v="75.050000000000011"/>
    <n v="149.10000000000002"/>
    <n v="1"/>
    <x v="1"/>
    <x v="136"/>
  </r>
  <r>
    <s v="Twirling_Duet_DuetDance_Cadet_Lower_Level"/>
    <n v="147"/>
    <n v="1"/>
    <s v="Duet Dance"/>
    <s v="CADET"/>
    <s v="Lower level"/>
    <s v="Chanel Abram-Julija Vogrič"/>
    <s v="TWIRLING-MAŽORETNO DRUŠTVO NOVA GORICA"/>
    <s v="Slovenia"/>
    <n v="74.7"/>
    <n v="1.5"/>
    <n v="73.2"/>
    <n v="2"/>
    <m/>
    <m/>
    <n v="0"/>
    <n v="1"/>
    <m/>
    <m/>
    <n v="0"/>
    <n v="1"/>
    <n v="75.900000000000006"/>
    <n v="1.5"/>
    <n v="74.400000000000006"/>
    <n v="2"/>
    <m/>
    <m/>
    <n v="0"/>
    <n v="1"/>
    <n v="147.60000000000002"/>
    <m/>
    <m/>
    <n v="147.60000000000002"/>
    <n v="75.300000000000011"/>
    <n v="147.60000000000002"/>
    <n v="2"/>
    <x v="1"/>
    <x v="137"/>
  </r>
  <r>
    <s v="Twirling_Duet_DuetDance_Cadet_Lower_Level"/>
    <n v="151"/>
    <n v="1"/>
    <s v="Duet Dance"/>
    <s v="CADET"/>
    <s v="Lower level"/>
    <s v="Neža Bavčar-Gala Martina Malik"/>
    <s v="MAŽORETNA IN TWIRLING SKUPINA PRVAČINA"/>
    <s v="Slovenia"/>
    <n v="73"/>
    <m/>
    <n v="73"/>
    <n v="3"/>
    <m/>
    <m/>
    <n v="0"/>
    <n v="1"/>
    <m/>
    <m/>
    <n v="0"/>
    <n v="1"/>
    <n v="74.3"/>
    <m/>
    <n v="74.3"/>
    <n v="3"/>
    <m/>
    <m/>
    <n v="0"/>
    <n v="1"/>
    <n v="147.30000000000001"/>
    <m/>
    <m/>
    <n v="147.30000000000001"/>
    <n v="73.650000000000006"/>
    <n v="147.30000000000001"/>
    <n v="3"/>
    <x v="1"/>
    <x v="138"/>
  </r>
  <r>
    <s v="Twirling_Duet_DuetDance_Cadet_Lower_Level"/>
    <n v="145"/>
    <n v="1"/>
    <s v="Duet Dance"/>
    <s v="CADET"/>
    <s v="Lower level"/>
    <s v="Ula Stojanović Bizjak-Lara Mugerli"/>
    <s v="MAŽORETNI IN TWIRLING KLUB KRANJ"/>
    <s v="Slovenia"/>
    <n v="72.900000000000006"/>
    <m/>
    <n v="72.900000000000006"/>
    <n v="4"/>
    <m/>
    <m/>
    <n v="0"/>
    <n v="1"/>
    <m/>
    <m/>
    <n v="0"/>
    <n v="1"/>
    <n v="74.3"/>
    <m/>
    <n v="74.3"/>
    <n v="3"/>
    <m/>
    <m/>
    <n v="0"/>
    <n v="1"/>
    <n v="147.19999999999999"/>
    <m/>
    <m/>
    <n v="147.19999999999999"/>
    <n v="73.599999999999994"/>
    <n v="147.19999999999999"/>
    <n v="4"/>
    <x v="1"/>
    <x v="139"/>
  </r>
  <r>
    <s v="Twirling_Duet_DuetDance_Cadet_Lower_Level"/>
    <n v="133"/>
    <n v="1"/>
    <s v="Duet Dance"/>
    <s v="CADET"/>
    <s v="Lower level"/>
    <s v="Laura Harej-Meta Gabrijelčič"/>
    <s v="MAŽORETNA IN TWIRLING SKUPINA PRVAČINA"/>
    <s v="Slovenia"/>
    <n v="70.5"/>
    <n v="0.5"/>
    <n v="70"/>
    <n v="5"/>
    <m/>
    <m/>
    <n v="0"/>
    <n v="1"/>
    <m/>
    <m/>
    <n v="0"/>
    <n v="1"/>
    <n v="69.2"/>
    <n v="0.5"/>
    <n v="68.7"/>
    <n v="6"/>
    <m/>
    <m/>
    <n v="0"/>
    <n v="1"/>
    <n v="138.69999999999999"/>
    <m/>
    <m/>
    <n v="138.69999999999999"/>
    <n v="69.849999999999994"/>
    <n v="138.69999999999999"/>
    <n v="5"/>
    <x v="1"/>
    <x v="140"/>
  </r>
  <r>
    <s v="Twirling_Duet_DuetDance_Cadet_Lower_Level"/>
    <n v="141"/>
    <n v="1"/>
    <s v="Duet Dance"/>
    <s v="CADET"/>
    <s v="Lower level"/>
    <s v="Brina Kenda-Mia Martinjaš"/>
    <s v="TWIRLING IN MAŽORETNI KLUB LUCIJA"/>
    <s v="Slovenia"/>
    <n v="70"/>
    <n v="2"/>
    <n v="68"/>
    <n v="7"/>
    <m/>
    <m/>
    <n v="0"/>
    <n v="1"/>
    <m/>
    <m/>
    <n v="0"/>
    <n v="1"/>
    <n v="72.3"/>
    <n v="2.5"/>
    <n v="69.8"/>
    <n v="5"/>
    <m/>
    <m/>
    <n v="0"/>
    <n v="1"/>
    <n v="137.80000000000001"/>
    <m/>
    <m/>
    <n v="137.80000000000001"/>
    <n v="71.150000000000006"/>
    <n v="137.80000000000001"/>
    <n v="6"/>
    <x v="1"/>
    <x v="141"/>
  </r>
  <r>
    <s v="Twirling_Duet_DuetDance_Cadet_Lower_Level"/>
    <n v="135"/>
    <n v="1"/>
    <s v="Duet Dance"/>
    <s v="CADET"/>
    <s v="Lower level"/>
    <s v="Neža Neuvirt-Zarja Perko"/>
    <s v="TWIRLING, PLESNI IN MAŽORETNI KLUB LENART"/>
    <s v="Slovenia"/>
    <n v="69.400000000000006"/>
    <n v="0.5"/>
    <n v="68.900000000000006"/>
    <n v="6"/>
    <m/>
    <m/>
    <n v="0"/>
    <n v="1"/>
    <m/>
    <m/>
    <n v="0"/>
    <n v="1"/>
    <n v="68.099999999999994"/>
    <n v="0.5"/>
    <n v="67.599999999999994"/>
    <n v="8"/>
    <m/>
    <m/>
    <n v="0"/>
    <n v="1"/>
    <n v="136.5"/>
    <m/>
    <m/>
    <n v="136.5"/>
    <n v="68.75"/>
    <n v="136.5"/>
    <n v="7"/>
    <x v="1"/>
    <x v="142"/>
  </r>
  <r>
    <s v="Twirling_Duet_DuetDance_Cadet_Lower_Level"/>
    <n v="139"/>
    <n v="1"/>
    <s v="Duet Dance"/>
    <s v="CADET"/>
    <s v="Lower level"/>
    <s v="Sara Radovanović-Lina Kop"/>
    <s v="TWIRLING KLUB ANINIH MAŽORETK"/>
    <s v="Slovenia"/>
    <n v="69.099999999999994"/>
    <n v="1.5"/>
    <n v="67.599999999999994"/>
    <n v="8"/>
    <m/>
    <m/>
    <n v="0"/>
    <n v="1"/>
    <m/>
    <m/>
    <n v="0"/>
    <n v="1"/>
    <n v="69.900000000000006"/>
    <n v="1.5"/>
    <n v="68.400000000000006"/>
    <n v="7"/>
    <m/>
    <m/>
    <n v="0"/>
    <n v="1"/>
    <n v="136"/>
    <m/>
    <m/>
    <n v="136"/>
    <n v="69.5"/>
    <n v="136"/>
    <n v="8"/>
    <x v="1"/>
    <x v="143"/>
  </r>
  <r>
    <s v="Twirling_Duet_DuetDance_Cadet_Lower_Level"/>
    <n v="143"/>
    <n v="1"/>
    <s v="Duet Dance"/>
    <s v="CADET"/>
    <s v="Lower level"/>
    <s v="Ana Kramberger-Tiana Marija Nikl"/>
    <s v="TWIRLING KLUB ANINIH MAŽORETK"/>
    <s v="Slovenia"/>
    <n v="68.900000000000006"/>
    <n v="2"/>
    <n v="66.900000000000006"/>
    <n v="9"/>
    <m/>
    <m/>
    <n v="0"/>
    <n v="1"/>
    <m/>
    <m/>
    <n v="0"/>
    <n v="1"/>
    <n v="69.3"/>
    <n v="2"/>
    <n v="67.3"/>
    <n v="9"/>
    <m/>
    <m/>
    <n v="0"/>
    <n v="1"/>
    <n v="134.19999999999999"/>
    <m/>
    <m/>
    <n v="134.19999999999999"/>
    <n v="69.099999999999994"/>
    <n v="134.19999999999999"/>
    <n v="9"/>
    <x v="1"/>
    <x v="144"/>
  </r>
  <r>
    <s v="Twirling_Duet_DuetDance_Cadet_Lower_Level"/>
    <n v="137"/>
    <n v="1"/>
    <s v="Duet Dance"/>
    <s v="CADET"/>
    <s v="Lower level"/>
    <s v="Ema Miklavčič-Lana Nardin Bizjak "/>
    <s v="MAŽORETNA IN TWIRLING SKUPINA PRVAČINA"/>
    <s v="Slovenia"/>
    <n v="67.900000000000006"/>
    <n v="1"/>
    <n v="66.900000000000006"/>
    <n v="9"/>
    <m/>
    <m/>
    <n v="0"/>
    <n v="1"/>
    <m/>
    <m/>
    <n v="0"/>
    <n v="1"/>
    <n v="66.2"/>
    <n v="1"/>
    <n v="65.2"/>
    <n v="10"/>
    <m/>
    <m/>
    <n v="0"/>
    <n v="1"/>
    <n v="132.10000000000002"/>
    <m/>
    <m/>
    <n v="132.10000000000002"/>
    <n v="67.050000000000011"/>
    <n v="132.10000000000002"/>
    <n v="10"/>
    <x v="1"/>
    <x v="145"/>
  </r>
  <r>
    <s v="Twirling_Duet_DuetDance_Cadet_Lower_Level"/>
    <n v="131"/>
    <n v="1"/>
    <s v="Duet Dance"/>
    <s v="CADET"/>
    <s v="Lower level"/>
    <s v="Daša Bizovičar-Taniša Gabrovec"/>
    <s v="MAŽORETNI IN TWIRLING KLUB KRANJ"/>
    <s v="Slovenia"/>
    <n v="65.3"/>
    <n v="1.5"/>
    <n v="63.8"/>
    <n v="11"/>
    <m/>
    <m/>
    <n v="0"/>
    <n v="1"/>
    <m/>
    <m/>
    <n v="0"/>
    <n v="1"/>
    <n v="65.3"/>
    <n v="1"/>
    <n v="64.3"/>
    <n v="11"/>
    <m/>
    <m/>
    <n v="0"/>
    <n v="1"/>
    <n v="128.1"/>
    <m/>
    <m/>
    <n v="128.1"/>
    <n v="65.3"/>
    <n v="128.1"/>
    <n v="11"/>
    <x v="1"/>
    <x v="146"/>
  </r>
  <r>
    <s v="Twirling_Duet_DuetDance_Junior_Lower_Level"/>
    <n v="150"/>
    <n v="2"/>
    <s v="Duet Dance"/>
    <s v="JUNIOR"/>
    <s v="Lower level"/>
    <s v="Aneja Juretič-Natali Vitez"/>
    <s v="TWIRLING-MAŽORETNO DRUŠTVO NOVA GORICA"/>
    <s v="Slovenia"/>
    <m/>
    <m/>
    <n v="0"/>
    <n v="1"/>
    <n v="87.1"/>
    <n v="0.5"/>
    <n v="86.6"/>
    <n v="1"/>
    <n v="83.2"/>
    <n v="0.5"/>
    <n v="82.7"/>
    <n v="1"/>
    <m/>
    <m/>
    <n v="0"/>
    <n v="1"/>
    <n v="74.599999999999994"/>
    <n v="0.5"/>
    <n v="74.099999999999994"/>
    <n v="1"/>
    <n v="243.4"/>
    <m/>
    <m/>
    <n v="243.4"/>
    <n v="81.63333333333334"/>
    <n v="243.4"/>
    <n v="1"/>
    <x v="1"/>
    <x v="147"/>
  </r>
  <r>
    <s v="Twirling_Duet_DuetDance_Junior_Lower_Level"/>
    <n v="152"/>
    <n v="2"/>
    <s v="Duet Dance"/>
    <s v="JUNIOR"/>
    <s v="Lower level"/>
    <s v="Zoja Djurašinović-Maša Slabe"/>
    <s v="TWIRLING KLUB LOGAŠKIH MAŽORET"/>
    <s v="Slovenia"/>
    <m/>
    <m/>
    <n v="0"/>
    <n v="1"/>
    <n v="73.3"/>
    <n v="1"/>
    <n v="72.3"/>
    <n v="2"/>
    <n v="69.900000000000006"/>
    <n v="1"/>
    <n v="68.900000000000006"/>
    <n v="2"/>
    <m/>
    <m/>
    <n v="0"/>
    <n v="1"/>
    <n v="73.099999999999994"/>
    <n v="1"/>
    <n v="72.099999999999994"/>
    <n v="2"/>
    <n v="213.29999999999998"/>
    <m/>
    <m/>
    <n v="213.29999999999998"/>
    <n v="72.099999999999994"/>
    <n v="213.29999999999998"/>
    <n v="2"/>
    <x v="1"/>
    <x v="148"/>
  </r>
  <r>
    <s v="Twirling_Duet_DuetDance_Junior_Lower_Level"/>
    <n v="154"/>
    <n v="2"/>
    <s v="Duet Dance"/>
    <s v="JUNIOR"/>
    <s v="Lower level"/>
    <s v="Lana Kukolaj-Simona Škulj"/>
    <s v="MAŽORETNI IN TWIRLING KLUB KRANJ"/>
    <s v="Slovenia"/>
    <m/>
    <m/>
    <n v="0"/>
    <n v="1"/>
    <n v="72"/>
    <n v="1"/>
    <n v="71"/>
    <n v="3"/>
    <n v="69.8"/>
    <n v="1"/>
    <n v="68.8"/>
    <n v="3"/>
    <m/>
    <m/>
    <n v="0"/>
    <n v="1"/>
    <n v="72.400000000000006"/>
    <n v="1"/>
    <n v="71.400000000000006"/>
    <n v="3"/>
    <n v="211.20000000000002"/>
    <m/>
    <m/>
    <n v="211.20000000000002"/>
    <n v="71.400000000000006"/>
    <n v="211.20000000000002"/>
    <n v="3"/>
    <x v="1"/>
    <x v="149"/>
  </r>
  <r>
    <s v="Twirling_Duet_DuetDance_Junior_Lower_Level"/>
    <n v="146"/>
    <n v="2"/>
    <s v="Duet Dance"/>
    <s v="JUNIOR"/>
    <s v="Lower level"/>
    <s v="Eva Steinbacher-Gaja Čendak"/>
    <s v="TWIRLING IN MAŽORETNI KLUB LUCIJA"/>
    <s v="Slovenia"/>
    <m/>
    <m/>
    <n v="0"/>
    <n v="1"/>
    <n v="70.3"/>
    <n v="4"/>
    <n v="66.3"/>
    <n v="4"/>
    <n v="71.599999999999994"/>
    <n v="4"/>
    <n v="67.599999999999994"/>
    <n v="4"/>
    <m/>
    <m/>
    <n v="0"/>
    <n v="1"/>
    <n v="68.3"/>
    <n v="4"/>
    <n v="64.3"/>
    <n v="5"/>
    <n v="198.2"/>
    <m/>
    <m/>
    <n v="198.2"/>
    <n v="70.066666666666663"/>
    <n v="198.2"/>
    <n v="4"/>
    <x v="1"/>
    <x v="150"/>
  </r>
  <r>
    <s v="Twirling_Duet_DuetDance_Junior_Lower_Level"/>
    <n v="148"/>
    <n v="2"/>
    <s v="Duet Dance"/>
    <s v="JUNIOR"/>
    <s v="Lower level"/>
    <s v="Marija Španja-Petra Mrković"/>
    <s v="TWIRLING KLUB VODICE"/>
    <s v="Croatia"/>
    <m/>
    <m/>
    <n v="0"/>
    <n v="1"/>
    <n v="65.3"/>
    <n v="0.5"/>
    <n v="64.8"/>
    <n v="5"/>
    <n v="66.099999999999994"/>
    <n v="0.5"/>
    <n v="65.599999999999994"/>
    <n v="5"/>
    <m/>
    <m/>
    <n v="0"/>
    <n v="1"/>
    <n v="66.5"/>
    <n v="0.5"/>
    <n v="66"/>
    <n v="4"/>
    <n v="196.39999999999998"/>
    <m/>
    <m/>
    <n v="196.39999999999998"/>
    <n v="65.966666666666654"/>
    <n v="196.39999999999998"/>
    <n v="5"/>
    <x v="1"/>
    <x v="151"/>
  </r>
  <r>
    <s v="Twirling_Duet_DuetDance_Junior_Lower_Level"/>
    <n v="144"/>
    <n v="2"/>
    <s v="Duet Dance"/>
    <s v="JUNIOR"/>
    <s v="Lower level"/>
    <s v="Gabriela Markežič Požar-Tina Kobal"/>
    <s v="TWIRLING IN MAŽORETNI KLUB LUCIJA"/>
    <s v="Slovenia"/>
    <m/>
    <m/>
    <n v="0"/>
    <n v="1"/>
    <n v="65.099999999999994"/>
    <n v="3.5"/>
    <n v="61.599999999999994"/>
    <n v="6"/>
    <n v="65.099999999999994"/>
    <n v="3.5"/>
    <n v="61.599999999999994"/>
    <n v="6"/>
    <m/>
    <m/>
    <n v="0"/>
    <n v="1"/>
    <n v="62.6"/>
    <n v="3.5"/>
    <n v="59.1"/>
    <n v="6"/>
    <n v="182.29999999999998"/>
    <m/>
    <m/>
    <n v="182.29999999999998"/>
    <n v="64.266666666666666"/>
    <n v="182.29999999999998"/>
    <n v="6"/>
    <x v="1"/>
    <x v="152"/>
  </r>
  <r>
    <s v="Twirling_Duet_DuetDance_Junior_Upper_Level"/>
    <n v="155"/>
    <n v="1"/>
    <s v="Duet Dance"/>
    <s v="JUNIOR"/>
    <s v="Upper level"/>
    <s v="Ula Levac Stančič-Teira Rupena"/>
    <s v="TWIRLING IN MAŽORETNI KLUB LUCIJA"/>
    <s v="Slovenia"/>
    <n v="86.1"/>
    <n v="1"/>
    <n v="85.1"/>
    <n v="1"/>
    <m/>
    <m/>
    <n v="0"/>
    <n v="1"/>
    <m/>
    <m/>
    <n v="0"/>
    <n v="1"/>
    <n v="85.3"/>
    <n v="1"/>
    <n v="84.3"/>
    <n v="1"/>
    <m/>
    <m/>
    <n v="0"/>
    <n v="1"/>
    <n v="169.39999999999998"/>
    <m/>
    <m/>
    <n v="169.39999999999998"/>
    <n v="85.699999999999989"/>
    <n v="169.39999999999998"/>
    <n v="1"/>
    <x v="1"/>
    <x v="153"/>
  </r>
  <r>
    <s v="Twirling_Duet_DuetDance_Junior_Upper_Level"/>
    <n v="157"/>
    <n v="1"/>
    <s v="Duet Dance"/>
    <s v="JUNIOR"/>
    <s v="Upper level"/>
    <s v="Lea Bendelja-Ena Čižmešija"/>
    <s v="TWIRLING KLUB LUDBREG"/>
    <s v="Croatia"/>
    <n v="85.2"/>
    <n v="1.5"/>
    <n v="83.7"/>
    <n v="2"/>
    <m/>
    <m/>
    <n v="0"/>
    <n v="1"/>
    <m/>
    <m/>
    <n v="0"/>
    <n v="1"/>
    <n v="85.4"/>
    <n v="1.5"/>
    <n v="83.9"/>
    <n v="2"/>
    <m/>
    <m/>
    <n v="0"/>
    <n v="1"/>
    <n v="167.60000000000002"/>
    <m/>
    <m/>
    <n v="167.60000000000002"/>
    <n v="85.300000000000011"/>
    <n v="167.60000000000002"/>
    <n v="2"/>
    <x v="1"/>
    <x v="154"/>
  </r>
  <r>
    <s v="Twirling_Duet_DuetDance_Junior_Upper_Level"/>
    <n v="159"/>
    <n v="1"/>
    <s v="Duet Dance"/>
    <s v="JUNIOR"/>
    <s v="Upper level"/>
    <s v="Gaja Mivec-Nuša Nared"/>
    <s v="MAŽORETNI TWIRLING IN PLESNI KLUB MACE"/>
    <s v="Slovenia"/>
    <n v="85.3"/>
    <n v="2"/>
    <n v="83.3"/>
    <n v="3"/>
    <m/>
    <m/>
    <n v="0"/>
    <n v="1"/>
    <m/>
    <m/>
    <n v="0"/>
    <n v="1"/>
    <n v="85.1"/>
    <n v="2"/>
    <n v="83.1"/>
    <n v="3"/>
    <m/>
    <m/>
    <n v="0"/>
    <n v="1"/>
    <n v="166.39999999999998"/>
    <m/>
    <m/>
    <n v="166.39999999999998"/>
    <n v="85.199999999999989"/>
    <n v="166.39999999999998"/>
    <n v="3"/>
    <x v="1"/>
    <x v="155"/>
  </r>
  <r>
    <s v="Twirling_Duet_DuetDance_Junior_Upper_Level"/>
    <n v="153"/>
    <n v="1"/>
    <s v="Duet Dance"/>
    <s v="JUNIOR"/>
    <s v="Upper level"/>
    <s v="Lena Ledinko-Nika Miličević"/>
    <s v="TWIRLING KLUB LUDBREG"/>
    <s v="Croatia"/>
    <n v="81.2"/>
    <n v="4"/>
    <n v="77.2"/>
    <n v="4"/>
    <m/>
    <m/>
    <n v="0"/>
    <n v="1"/>
    <m/>
    <m/>
    <n v="0"/>
    <n v="1"/>
    <n v="83.2"/>
    <n v="4"/>
    <n v="79.2"/>
    <n v="4"/>
    <m/>
    <m/>
    <n v="0"/>
    <n v="1"/>
    <n v="156.4"/>
    <m/>
    <m/>
    <n v="156.4"/>
    <n v="82.2"/>
    <n v="156.4"/>
    <n v="4"/>
    <x v="1"/>
    <x v="156"/>
  </r>
  <r>
    <s v="Twirling_Duet_DuetDance_Senior_Lower_Level"/>
    <n v="158"/>
    <n v="2"/>
    <s v="Duet Dance"/>
    <s v="SENIOR"/>
    <s v="Lower level"/>
    <s v="Naja Kandžič-Erin Pavčič"/>
    <s v="MAŽORETNI TWIRLING IN PLESNI KLUB MACE"/>
    <s v="Slovenia"/>
    <m/>
    <m/>
    <n v="0"/>
    <n v="1"/>
    <n v="73.900000000000006"/>
    <n v="2.5"/>
    <n v="71.400000000000006"/>
    <n v="1"/>
    <n v="72.5"/>
    <n v="2.5"/>
    <n v="70"/>
    <n v="1"/>
    <m/>
    <m/>
    <n v="0"/>
    <n v="1"/>
    <n v="69.900000000000006"/>
    <n v="2.5"/>
    <n v="67.400000000000006"/>
    <n v="1"/>
    <n v="208.8"/>
    <m/>
    <m/>
    <n v="208.8"/>
    <n v="72.100000000000009"/>
    <n v="208.8"/>
    <n v="1"/>
    <x v="1"/>
    <x v="157"/>
  </r>
  <r>
    <s v="Twirling_Duet_DuetDance_Senior_Lower_Level"/>
    <n v="160"/>
    <n v="2"/>
    <s v="Duet Dance"/>
    <s v="SENIOR"/>
    <s v="Lower level"/>
    <s v="Tajda Padovnik-Tia Perko"/>
    <s v="TWIRLING KLUB ANINIH MAŽORETK"/>
    <s v="Slovenia"/>
    <m/>
    <m/>
    <n v="0"/>
    <n v="1"/>
    <n v="69.099999999999994"/>
    <n v="1"/>
    <n v="68.099999999999994"/>
    <n v="3"/>
    <n v="70.400000000000006"/>
    <n v="1"/>
    <n v="69.400000000000006"/>
    <n v="3"/>
    <m/>
    <m/>
    <n v="0"/>
    <n v="1"/>
    <n v="68"/>
    <n v="1"/>
    <n v="67"/>
    <n v="2"/>
    <n v="204.5"/>
    <m/>
    <m/>
    <n v="204.5"/>
    <n v="69.166666666666671"/>
    <n v="204.5"/>
    <n v="2"/>
    <x v="1"/>
    <x v="158"/>
  </r>
  <r>
    <s v="Twirling_Duet_DuetDance_Senior_Lower_Level"/>
    <n v="156"/>
    <n v="2"/>
    <s v="Duet Dance"/>
    <s v="SENIOR"/>
    <s v="Lower level"/>
    <s v="Marija Skočić-Iris Juričev"/>
    <s v="TWIRLING KLUB VODICE"/>
    <s v="Croatia"/>
    <m/>
    <m/>
    <n v="0"/>
    <n v="1"/>
    <n v="70.7"/>
    <n v="2"/>
    <n v="68.7"/>
    <n v="2"/>
    <n v="71.7"/>
    <n v="2"/>
    <n v="69.7"/>
    <n v="2"/>
    <m/>
    <m/>
    <n v="0"/>
    <n v="1"/>
    <n v="66.5"/>
    <n v="2"/>
    <n v="64.5"/>
    <n v="3"/>
    <n v="202.9"/>
    <m/>
    <m/>
    <n v="202.9"/>
    <n v="69.63333333333334"/>
    <n v="202.9"/>
    <n v="3"/>
    <x v="1"/>
    <x v="159"/>
  </r>
  <r>
    <s v="Twirling_Group_TwirlingTeam_Children"/>
    <n v="161"/>
    <m/>
    <s v="Twirling Team"/>
    <s v="CHILDREN"/>
    <s v="Single level"/>
    <s v="/"/>
    <s v="MAŽORETNI IN TWIRLING KLUB KRANJ"/>
    <s v="Slovenia"/>
    <n v="60"/>
    <n v="1"/>
    <n v="59"/>
    <n v="1"/>
    <m/>
    <m/>
    <n v="0"/>
    <n v="1"/>
    <n v="60.2"/>
    <n v="1"/>
    <n v="59.2"/>
    <n v="1"/>
    <n v="60"/>
    <n v="1"/>
    <n v="59"/>
    <n v="1"/>
    <n v="59.4"/>
    <n v="1"/>
    <n v="58.4"/>
    <n v="1"/>
    <n v="235.6"/>
    <n v="0"/>
    <n v="59.2"/>
    <n v="176.39999999999998"/>
    <n v="59.9"/>
    <n v="176.39999999999998"/>
    <n v="1"/>
    <x v="2"/>
    <x v="160"/>
  </r>
  <r>
    <s v="Twirling_Group_TwirlingTeam_Cadet_Lower_Level"/>
    <n v="162"/>
    <m/>
    <s v="Twirling Team"/>
    <s v="CADET"/>
    <s v="Lower level"/>
    <s v="/"/>
    <s v="TWIRLING IN MAŽORETNI KLUB LUCIJA"/>
    <s v="Slovenia"/>
    <n v="66.400000000000006"/>
    <n v="4.5"/>
    <n v="61.900000000000006"/>
    <n v="1"/>
    <m/>
    <m/>
    <n v="0"/>
    <n v="1"/>
    <n v="65.3"/>
    <n v="4.5"/>
    <n v="60.8"/>
    <n v="1"/>
    <n v="65.5"/>
    <n v="4.5"/>
    <n v="61"/>
    <n v="1"/>
    <n v="66.400000000000006"/>
    <n v="4.5"/>
    <n v="61.900000000000006"/>
    <n v="1"/>
    <n v="245.6"/>
    <n v="0"/>
    <n v="61.900000000000006"/>
    <n v="183.7"/>
    <n v="65.900000000000006"/>
    <n v="183.7"/>
    <n v="1"/>
    <x v="2"/>
    <x v="161"/>
  </r>
  <r>
    <s v="Twirling_Group_TwirlingTeam_Cadet_Lower_Level"/>
    <n v="163"/>
    <m/>
    <s v="Twirling Team"/>
    <s v="CADET"/>
    <s v="Lower level"/>
    <s v="/"/>
    <s v="MAŽORETNI IN TWIRLING KLUB KRANJ"/>
    <s v="Slovenia"/>
    <n v="59.6"/>
    <n v="2"/>
    <n v="57.6"/>
    <n v="3"/>
    <m/>
    <m/>
    <n v="0"/>
    <n v="1"/>
    <n v="59.9"/>
    <n v="2"/>
    <n v="57.9"/>
    <n v="2"/>
    <n v="60.3"/>
    <n v="2"/>
    <n v="58.3"/>
    <n v="3"/>
    <n v="61.4"/>
    <n v="2"/>
    <n v="59.4"/>
    <n v="2"/>
    <n v="233.20000000000002"/>
    <n v="0"/>
    <n v="59.4"/>
    <n v="173.8"/>
    <n v="60.300000000000004"/>
    <n v="173.8"/>
    <n v="2"/>
    <x v="2"/>
    <x v="162"/>
  </r>
  <r>
    <s v="Twirling_Group_TwirlingTeam_Cadet_Lower_Level"/>
    <n v="164"/>
    <m/>
    <s v="Twirling Team"/>
    <s v="CADET"/>
    <s v="Lower level"/>
    <s v="/"/>
    <s v="MAŽORETNA IN TWIRLING SKUPINA PRVAČINA"/>
    <s v="Slovenia"/>
    <n v="61.7"/>
    <n v="4"/>
    <n v="57.7"/>
    <n v="2"/>
    <m/>
    <m/>
    <n v="0"/>
    <n v="1"/>
    <n v="61.3"/>
    <n v="4"/>
    <n v="57.3"/>
    <n v="3"/>
    <n v="62.7"/>
    <n v="4"/>
    <n v="58.7"/>
    <n v="2"/>
    <n v="62.9"/>
    <n v="4"/>
    <n v="58.9"/>
    <n v="3"/>
    <n v="232.6"/>
    <n v="0"/>
    <n v="58.9"/>
    <n v="173.7"/>
    <n v="62.15"/>
    <n v="173.7"/>
    <n v="3"/>
    <x v="2"/>
    <x v="163"/>
  </r>
  <r>
    <s v="Twirling_Group_TwirlingTeam_Cadet_Upper_Level"/>
    <n v="165"/>
    <m/>
    <s v="Twirling Team"/>
    <s v="CADET"/>
    <s v="Upper level"/>
    <s v="/"/>
    <s v="TWIRLING KLUB LOGAŠKIH MAŽORET"/>
    <s v="Slovenia"/>
    <n v="77.2"/>
    <n v="2"/>
    <n v="75.2"/>
    <n v="1"/>
    <m/>
    <m/>
    <n v="0"/>
    <n v="1"/>
    <n v="77.2"/>
    <n v="2"/>
    <n v="75.2"/>
    <n v="1"/>
    <n v="77.599999999999994"/>
    <n v="2"/>
    <n v="75.599999999999994"/>
    <n v="1"/>
    <n v="76.400000000000006"/>
    <n v="2"/>
    <n v="74.400000000000006"/>
    <n v="1"/>
    <n v="300.39999999999998"/>
    <n v="0"/>
    <n v="75.599999999999994"/>
    <n v="224.79999999999998"/>
    <n v="77.099999999999994"/>
    <n v="224.79999999999998"/>
    <n v="1"/>
    <x v="2"/>
    <x v="164"/>
  </r>
  <r>
    <s v="Twirling_Group_TwirlingTeam_Junior_Lower_Level"/>
    <n v="168"/>
    <m/>
    <s v="Twirling Team"/>
    <s v="JUNIOR"/>
    <s v="Lower level"/>
    <s v="/"/>
    <s v="TWIRLING-MAŽORETNO DRUŠTVO NOVA GORICA"/>
    <s v="Slovenia"/>
    <n v="82.9"/>
    <n v="2"/>
    <n v="80.900000000000006"/>
    <n v="1"/>
    <m/>
    <m/>
    <n v="0"/>
    <n v="1"/>
    <n v="75.400000000000006"/>
    <n v="2"/>
    <n v="73.400000000000006"/>
    <n v="1"/>
    <n v="79.3"/>
    <n v="2"/>
    <n v="77.3"/>
    <n v="1"/>
    <n v="74.2"/>
    <n v="2"/>
    <n v="72.2"/>
    <n v="1"/>
    <n v="303.8"/>
    <n v="0"/>
    <n v="80.900000000000006"/>
    <n v="222.9"/>
    <n v="77.95"/>
    <n v="222.9"/>
    <n v="1"/>
    <x v="2"/>
    <x v="165"/>
  </r>
  <r>
    <s v="Twirling_Group_TwirlingTeam_Junior_Lower_Level"/>
    <n v="167"/>
    <m/>
    <s v="Twirling Team"/>
    <s v="JUNIOR"/>
    <s v="Lower level"/>
    <s v="/"/>
    <s v="MAŽORETNI IN TWIRLING KLUB KRANJ"/>
    <s v="Slovenia"/>
    <n v="72.400000000000006"/>
    <n v="2.5"/>
    <n v="69.900000000000006"/>
    <n v="2"/>
    <m/>
    <m/>
    <n v="0"/>
    <n v="1"/>
    <n v="72.400000000000006"/>
    <n v="2.5"/>
    <n v="69.900000000000006"/>
    <n v="2"/>
    <n v="72.5"/>
    <n v="2.5"/>
    <n v="70"/>
    <n v="2"/>
    <n v="69.2"/>
    <n v="2.5"/>
    <n v="66.7"/>
    <n v="2"/>
    <n v="276.5"/>
    <n v="0"/>
    <n v="70"/>
    <n v="206.5"/>
    <n v="71.625"/>
    <n v="206.5"/>
    <n v="2"/>
    <x v="2"/>
    <x v="166"/>
  </r>
  <r>
    <s v="Twirling_Group_TwirlingTeam_Junior_Lower_Level"/>
    <n v="166"/>
    <m/>
    <s v="Twirling Team"/>
    <s v="JUNIOR"/>
    <s v="Lower level"/>
    <s v="/"/>
    <s v="TWIRLING KLUB KRAPINA"/>
    <s v="Croatia"/>
    <n v="66"/>
    <n v="2.5"/>
    <n v="63.5"/>
    <n v="3"/>
    <m/>
    <m/>
    <n v="0"/>
    <n v="1"/>
    <n v="66.3"/>
    <n v="2.5"/>
    <n v="63.8"/>
    <n v="3"/>
    <n v="67"/>
    <n v="2.5"/>
    <n v="64.5"/>
    <n v="3"/>
    <n v="66.2"/>
    <n v="2.5"/>
    <n v="63.7"/>
    <n v="3"/>
    <n v="255.5"/>
    <n v="0"/>
    <n v="64.5"/>
    <n v="191"/>
    <n v="66.375"/>
    <n v="191"/>
    <n v="3"/>
    <x v="2"/>
    <x v="167"/>
  </r>
  <r>
    <s v="Twirling_Group_TwirlingTeam_Junior_Lower_Level"/>
    <n v="169"/>
    <m/>
    <s v="Twirling Team"/>
    <s v="JUNIOR"/>
    <s v="Lower level"/>
    <s v="/"/>
    <s v="TWIRLING IN MAŽORETNI KLUB LUCIJA"/>
    <s v="Slovenia"/>
    <n v="70.8"/>
    <n v="8"/>
    <n v="62.8"/>
    <n v="4"/>
    <m/>
    <m/>
    <n v="0"/>
    <n v="1"/>
    <n v="70.900000000000006"/>
    <n v="8"/>
    <n v="62.900000000000006"/>
    <n v="4"/>
    <n v="71.900000000000006"/>
    <n v="8"/>
    <n v="63.900000000000006"/>
    <n v="4"/>
    <n v="65.3"/>
    <n v="8"/>
    <n v="57.3"/>
    <n v="4"/>
    <n v="246.90000000000003"/>
    <n v="0"/>
    <n v="63.900000000000006"/>
    <n v="183.00000000000003"/>
    <n v="69.724999999999994"/>
    <n v="183.00000000000003"/>
    <n v="4"/>
    <x v="2"/>
    <x v="168"/>
  </r>
  <r>
    <s v="Twirling_Group_TwirlingTeam_Senior_Lower_Level"/>
    <n v="170"/>
    <m/>
    <s v="Twirling Team"/>
    <s v="SENIOR"/>
    <s v="Lower level"/>
    <s v="/"/>
    <s v="TWIRLING KLUB LOGAŠKIH MAŽORET"/>
    <s v="Slovenia"/>
    <n v="86.4"/>
    <n v="2"/>
    <n v="84.4"/>
    <n v="1"/>
    <m/>
    <m/>
    <n v="0"/>
    <n v="1"/>
    <n v="86.1"/>
    <n v="2"/>
    <n v="84.1"/>
    <n v="1"/>
    <n v="86.4"/>
    <n v="2"/>
    <n v="84.4"/>
    <n v="1"/>
    <n v="84.5"/>
    <n v="2"/>
    <n v="82.5"/>
    <n v="1"/>
    <n v="335.4"/>
    <n v="82.5"/>
    <n v="84.4"/>
    <n v="168.49999999999997"/>
    <n v="85.85"/>
    <n v="168.49999999999997"/>
    <n v="1"/>
    <x v="2"/>
    <x v="169"/>
  </r>
  <r>
    <s v="Twirling_Group_TwirlingTeam_Senior_Lower_Level"/>
    <n v="171"/>
    <m/>
    <s v="Twirling Team"/>
    <s v="SENIOR"/>
    <s v="Lower level"/>
    <s v="/"/>
    <s v="TWIRLING KLUB VODICE"/>
    <s v="Croatia"/>
    <n v="68.099999999999994"/>
    <n v="5.5"/>
    <n v="62.599999999999994"/>
    <n v="2"/>
    <m/>
    <m/>
    <n v="0"/>
    <n v="1"/>
    <n v="70.400000000000006"/>
    <n v="5.5"/>
    <n v="64.900000000000006"/>
    <n v="2"/>
    <n v="70.5"/>
    <n v="5.5"/>
    <n v="65"/>
    <n v="2"/>
    <n v="68.400000000000006"/>
    <n v="5.5"/>
    <n v="62.900000000000006"/>
    <n v="2"/>
    <n v="255.4"/>
    <n v="62.599999999999994"/>
    <n v="65"/>
    <n v="127.80000000000001"/>
    <n v="69.349999999999994"/>
    <n v="127.80000000000001"/>
    <n v="2"/>
    <x v="2"/>
    <x v="170"/>
  </r>
  <r>
    <s v="Twirling_Group_TwirlingGroup_Children"/>
    <n v="173"/>
    <m/>
    <s v="Twirling Group"/>
    <s v="CHILDREN"/>
    <s v="Single level"/>
    <s v="/"/>
    <s v="TWIRLING KLUB ANINIH MAŽORETK"/>
    <s v="Slovenia"/>
    <n v="62.9"/>
    <n v="3"/>
    <n v="59.9"/>
    <n v="1"/>
    <m/>
    <m/>
    <n v="0"/>
    <n v="1"/>
    <n v="61.4"/>
    <n v="3"/>
    <n v="58.4"/>
    <n v="1"/>
    <n v="62.3"/>
    <n v="3"/>
    <n v="59.3"/>
    <n v="1"/>
    <n v="63.1"/>
    <n v="3"/>
    <n v="60.1"/>
    <n v="1"/>
    <n v="237.7"/>
    <n v="58.4"/>
    <n v="60.1"/>
    <n v="119.19999999999999"/>
    <n v="62.424999999999997"/>
    <n v="119.19999999999999"/>
    <n v="1"/>
    <x v="2"/>
    <x v="171"/>
  </r>
  <r>
    <s v="Twirling_Group_TwirlingGroup_Children"/>
    <n v="172"/>
    <m/>
    <s v="Twirling Group"/>
    <s v="CHILDREN"/>
    <s v="Single level"/>
    <s v="/"/>
    <s v="MAŽORETNA IN TWIRLING SKUPINA PRVAČINA"/>
    <s v="Slovenia"/>
    <n v="61.9"/>
    <n v="2.5"/>
    <n v="59.4"/>
    <n v="2"/>
    <m/>
    <m/>
    <n v="0"/>
    <n v="1"/>
    <n v="60.7"/>
    <n v="2.5"/>
    <n v="58.2"/>
    <n v="2"/>
    <n v="61"/>
    <n v="2.5"/>
    <n v="58.5"/>
    <n v="2"/>
    <n v="61.7"/>
    <n v="2.5"/>
    <n v="59.2"/>
    <n v="2"/>
    <n v="235.3"/>
    <n v="58.2"/>
    <n v="59.4"/>
    <n v="117.70000000000002"/>
    <n v="61.325000000000003"/>
    <n v="117.70000000000002"/>
    <n v="2"/>
    <x v="2"/>
    <x v="172"/>
  </r>
  <r>
    <s v="Twirling_Group_TwirlingGroup_Cadet"/>
    <n v="175"/>
    <m/>
    <s v="Twirling Group"/>
    <s v="CADET"/>
    <s v="Single level"/>
    <s v="/"/>
    <s v="MAŽORETNA IN TWIRLING SKUPINA PRVAČINA"/>
    <s v="Slovenia"/>
    <n v="67.3"/>
    <n v="1"/>
    <n v="66.3"/>
    <n v="2"/>
    <m/>
    <m/>
    <n v="0"/>
    <n v="1"/>
    <n v="67.599999999999994"/>
    <n v="1"/>
    <n v="66.599999999999994"/>
    <n v="1"/>
    <n v="68.3"/>
    <n v="1"/>
    <n v="67.3"/>
    <n v="1"/>
    <n v="69.2"/>
    <n v="1"/>
    <n v="68.2"/>
    <n v="1"/>
    <n v="268.39999999999998"/>
    <n v="66.3"/>
    <n v="68.2"/>
    <n v="133.89999999999998"/>
    <n v="68.099999999999994"/>
    <n v="133.89999999999998"/>
    <n v="1"/>
    <x v="2"/>
    <x v="173"/>
  </r>
  <r>
    <s v="Twirling_Group_TwirlingGroup_Cadet"/>
    <n v="174"/>
    <m/>
    <s v="Twirling Group"/>
    <s v="CADET"/>
    <s v="Single level"/>
    <s v="/"/>
    <s v="MAŽORETNI TWIRLING IN PLESNI KLUB MACE"/>
    <s v="Slovenia"/>
    <n v="70.099999999999994"/>
    <n v="3.5"/>
    <n v="66.599999999999994"/>
    <n v="1"/>
    <m/>
    <m/>
    <n v="0"/>
    <n v="1"/>
    <n v="70"/>
    <n v="3.5"/>
    <n v="66.5"/>
    <n v="2"/>
    <n v="70.2"/>
    <n v="3.5"/>
    <n v="66.7"/>
    <n v="2"/>
    <n v="70.3"/>
    <n v="3.5"/>
    <n v="66.8"/>
    <n v="2"/>
    <n v="266.60000000000002"/>
    <n v="66.5"/>
    <n v="66.8"/>
    <n v="133.30000000000001"/>
    <n v="70.150000000000006"/>
    <n v="133.30000000000001"/>
    <n v="2"/>
    <x v="2"/>
    <x v="174"/>
  </r>
  <r>
    <s v="Twirling_Group_TwirlingGroup_Senior"/>
    <n v="176"/>
    <m/>
    <s v="Twirling Group"/>
    <s v="SENIOR"/>
    <s v="Single level"/>
    <s v="/"/>
    <s v="MAŽORETNI TWIRLING IN PLESNI KLUB MACE"/>
    <s v="Slovenia"/>
    <n v="86.3"/>
    <n v="3"/>
    <n v="83.3"/>
    <n v="1"/>
    <m/>
    <m/>
    <n v="0"/>
    <n v="1"/>
    <n v="84.8"/>
    <n v="3"/>
    <n v="81.8"/>
    <n v="1"/>
    <n v="85.8"/>
    <n v="3"/>
    <n v="82.8"/>
    <n v="1"/>
    <n v="85.6"/>
    <n v="3"/>
    <n v="82.6"/>
    <n v="1"/>
    <n v="330.5"/>
    <n v="81.8"/>
    <n v="83.3"/>
    <n v="165.39999999999998"/>
    <n v="85.625"/>
    <n v="165.39999999999998"/>
    <n v="1"/>
    <x v="2"/>
    <x v="17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AD5A67B-4231-40D7-8568-880331A5BDC5}" name="Pivot_Query_ALL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83" firstHeaderRow="1" firstDataRow="1" firstDataCol="1"/>
  <pivotFields count="3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axis="axisRow" showAll="0">
      <items count="5">
        <item x="0"/>
        <item x="1"/>
        <item x="2"/>
        <item m="1" x="3"/>
        <item t="default"/>
      </items>
    </pivotField>
    <pivotField axis="axisRow" showAll="0" sortType="descending">
      <items count="310">
        <item m="1" x="226"/>
        <item m="1" x="202"/>
        <item m="1" x="260"/>
        <item m="1" x="280"/>
        <item m="1" x="252"/>
        <item m="1" x="261"/>
        <item m="1" x="265"/>
        <item m="1" x="209"/>
        <item m="1" x="301"/>
        <item m="1" x="240"/>
        <item m="1" x="248"/>
        <item m="1" x="278"/>
        <item m="1" x="299"/>
        <item m="1" x="294"/>
        <item m="1" x="184"/>
        <item m="1" x="303"/>
        <item m="1" x="222"/>
        <item m="1" x="193"/>
        <item m="1" x="289"/>
        <item m="1" x="216"/>
        <item m="1" x="300"/>
        <item m="1" x="236"/>
        <item m="1" x="214"/>
        <item m="1" x="194"/>
        <item m="1" x="257"/>
        <item m="1" x="262"/>
        <item m="1" x="242"/>
        <item m="1" x="219"/>
        <item m="1" x="227"/>
        <item m="1" x="190"/>
        <item m="1" x="180"/>
        <item m="1" x="241"/>
        <item m="1" x="235"/>
        <item m="1" x="308"/>
        <item m="1" x="208"/>
        <item m="1" x="228"/>
        <item m="1" x="291"/>
        <item m="1" x="253"/>
        <item m="1" x="205"/>
        <item m="1" x="306"/>
        <item m="1" x="179"/>
        <item m="1" x="304"/>
        <item m="1" x="238"/>
        <item m="1" x="178"/>
        <item m="1" x="181"/>
        <item m="1" x="269"/>
        <item m="1" x="274"/>
        <item m="1" x="255"/>
        <item m="1" x="224"/>
        <item m="1" x="284"/>
        <item m="1" x="230"/>
        <item m="1" x="199"/>
        <item m="1" x="266"/>
        <item m="1" x="189"/>
        <item m="1" x="295"/>
        <item m="1" x="281"/>
        <item m="1" x="290"/>
        <item m="1" x="273"/>
        <item m="1" x="246"/>
        <item m="1" x="234"/>
        <item m="1" x="210"/>
        <item m="1" x="211"/>
        <item m="1" x="221"/>
        <item m="1" x="188"/>
        <item m="1" x="302"/>
        <item m="1" x="268"/>
        <item m="1" x="286"/>
        <item m="1" x="264"/>
        <item m="1" x="287"/>
        <item m="1" x="270"/>
        <item m="1" x="220"/>
        <item m="1" x="177"/>
        <item m="1" x="275"/>
        <item m="1" x="231"/>
        <item m="1" x="237"/>
        <item m="1" x="305"/>
        <item m="1" x="213"/>
        <item m="1" x="212"/>
        <item m="1" x="251"/>
        <item m="1" x="243"/>
        <item m="1" x="250"/>
        <item m="1" x="292"/>
        <item m="1" x="225"/>
        <item m="1" x="223"/>
        <item m="1" x="183"/>
        <item m="1" x="232"/>
        <item m="1" x="233"/>
        <item m="1" x="247"/>
        <item m="1" x="192"/>
        <item m="1" x="288"/>
        <item m="1" x="285"/>
        <item m="1" x="186"/>
        <item m="1" x="191"/>
        <item m="1" x="217"/>
        <item m="1" x="200"/>
        <item m="1" x="229"/>
        <item m="1" x="215"/>
        <item m="1" x="256"/>
        <item m="1" x="279"/>
        <item m="1" x="258"/>
        <item m="1" x="198"/>
        <item m="1" x="244"/>
        <item m="1" x="259"/>
        <item m="1" x="249"/>
        <item m="1" x="203"/>
        <item m="1" x="195"/>
        <item m="1" x="196"/>
        <item m="1" x="197"/>
        <item m="1" x="254"/>
        <item m="1" x="207"/>
        <item m="1" x="267"/>
        <item m="1" x="282"/>
        <item m="1" x="296"/>
        <item m="1" x="201"/>
        <item m="1" x="182"/>
        <item m="1" x="218"/>
        <item m="1" x="187"/>
        <item m="1" x="293"/>
        <item m="1" x="206"/>
        <item m="1" x="297"/>
        <item m="1" x="245"/>
        <item m="1" x="276"/>
        <item m="1" x="272"/>
        <item m="1" x="271"/>
        <item m="1" x="204"/>
        <item m="1" x="298"/>
        <item m="1" x="239"/>
        <item m="1" x="277"/>
        <item m="1" x="263"/>
        <item m="1" x="307"/>
        <item m="1" x="185"/>
        <item m="1" x="283"/>
        <item m="1" x="176"/>
        <item x="0"/>
        <item x="2"/>
        <item x="1"/>
        <item x="3"/>
        <item x="5"/>
        <item x="6"/>
        <item x="7"/>
        <item x="4"/>
        <item x="11"/>
        <item x="10"/>
        <item x="12"/>
        <item x="9"/>
        <item x="8"/>
        <item x="25"/>
        <item x="23"/>
        <item x="19"/>
        <item x="26"/>
        <item x="20"/>
        <item x="24"/>
        <item x="22"/>
        <item x="27"/>
        <item x="21"/>
        <item x="28"/>
        <item x="14"/>
        <item x="13"/>
        <item x="18"/>
        <item x="15"/>
        <item x="17"/>
        <item x="16"/>
        <item x="30"/>
        <item x="29"/>
        <item x="32"/>
        <item x="31"/>
        <item x="34"/>
        <item x="36"/>
        <item x="35"/>
        <item x="33"/>
        <item x="42"/>
        <item x="43"/>
        <item x="45"/>
        <item x="46"/>
        <item x="44"/>
        <item x="37"/>
        <item x="38"/>
        <item x="39"/>
        <item x="40"/>
        <item x="41"/>
        <item x="51"/>
        <item x="47"/>
        <item x="52"/>
        <item x="50"/>
        <item x="48"/>
        <item x="53"/>
        <item x="49"/>
        <item x="82"/>
        <item x="72"/>
        <item x="68"/>
        <item x="74"/>
        <item x="66"/>
        <item x="75"/>
        <item x="67"/>
        <item x="79"/>
        <item x="70"/>
        <item x="81"/>
        <item x="69"/>
        <item x="83"/>
        <item x="85"/>
        <item x="84"/>
        <item x="78"/>
        <item x="73"/>
        <item x="80"/>
        <item x="77"/>
        <item x="71"/>
        <item x="76"/>
        <item x="90"/>
        <item x="88"/>
        <item x="91"/>
        <item x="89"/>
        <item x="93"/>
        <item x="86"/>
        <item x="87"/>
        <item x="92"/>
        <item x="104"/>
        <item x="101"/>
        <item x="105"/>
        <item x="100"/>
        <item x="99"/>
        <item x="103"/>
        <item x="102"/>
        <item x="117"/>
        <item x="118"/>
        <item x="112"/>
        <item x="106"/>
        <item x="114"/>
        <item x="123"/>
        <item x="120"/>
        <item x="115"/>
        <item x="107"/>
        <item x="110"/>
        <item x="121"/>
        <item x="109"/>
        <item x="119"/>
        <item x="111"/>
        <item x="108"/>
        <item x="113"/>
        <item x="122"/>
        <item x="116"/>
        <item x="129"/>
        <item x="124"/>
        <item x="128"/>
        <item x="126"/>
        <item x="127"/>
        <item x="125"/>
        <item x="94"/>
        <item x="96"/>
        <item x="95"/>
        <item x="63"/>
        <item x="65"/>
        <item x="61"/>
        <item x="60"/>
        <item x="64"/>
        <item x="62"/>
        <item x="54"/>
        <item x="57"/>
        <item x="59"/>
        <item x="55"/>
        <item x="58"/>
        <item x="56"/>
        <item x="97"/>
        <item x="98"/>
        <item x="132"/>
        <item x="133"/>
        <item x="131"/>
        <item x="130"/>
        <item x="134"/>
        <item x="135"/>
        <item x="146"/>
        <item x="140"/>
        <item x="142"/>
        <item x="145"/>
        <item x="143"/>
        <item x="141"/>
        <item x="144"/>
        <item x="139"/>
        <item x="137"/>
        <item x="136"/>
        <item x="138"/>
        <item x="152"/>
        <item x="150"/>
        <item x="151"/>
        <item x="147"/>
        <item x="148"/>
        <item x="149"/>
        <item x="156"/>
        <item x="153"/>
        <item x="154"/>
        <item x="155"/>
        <item x="159"/>
        <item x="157"/>
        <item x="158"/>
        <item x="160"/>
        <item x="161"/>
        <item x="162"/>
        <item x="163"/>
        <item x="164"/>
        <item x="167"/>
        <item x="166"/>
        <item x="165"/>
        <item x="168"/>
        <item x="169"/>
        <item x="170"/>
        <item x="172"/>
        <item x="171"/>
        <item x="174"/>
        <item x="173"/>
        <item x="17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2">
    <field x="36"/>
    <field x="37"/>
  </rowFields>
  <rowItems count="180">
    <i>
      <x/>
    </i>
    <i r="1">
      <x v="255"/>
    </i>
    <i r="1">
      <x v="258"/>
    </i>
    <i r="1">
      <x v="260"/>
    </i>
    <i r="1">
      <x v="256"/>
    </i>
    <i r="1">
      <x v="175"/>
    </i>
    <i r="1">
      <x v="241"/>
    </i>
    <i r="1">
      <x v="246"/>
    </i>
    <i r="1">
      <x v="245"/>
    </i>
    <i r="1">
      <x v="157"/>
    </i>
    <i r="1">
      <x v="156"/>
    </i>
    <i r="1">
      <x v="243"/>
    </i>
    <i r="1">
      <x v="176"/>
    </i>
    <i r="1">
      <x v="244"/>
    </i>
    <i r="1">
      <x v="261"/>
    </i>
    <i r="1">
      <x v="159"/>
    </i>
    <i r="1">
      <x v="225"/>
    </i>
    <i r="1">
      <x v="161"/>
    </i>
    <i r="1">
      <x v="242"/>
    </i>
    <i r="1">
      <x v="177"/>
    </i>
    <i r="1">
      <x v="160"/>
    </i>
    <i r="1">
      <x v="259"/>
    </i>
    <i r="1">
      <x v="181"/>
    </i>
    <i r="1">
      <x v="178"/>
    </i>
    <i r="1">
      <x v="158"/>
    </i>
    <i r="1">
      <x v="163"/>
    </i>
    <i r="1">
      <x v="169"/>
    </i>
    <i r="1">
      <x v="179"/>
    </i>
    <i r="1">
      <x v="212"/>
    </i>
    <i r="1">
      <x v="257"/>
    </i>
    <i r="1">
      <x v="252"/>
    </i>
    <i r="1">
      <x v="171"/>
    </i>
    <i r="1">
      <x v="133"/>
    </i>
    <i r="1">
      <x v="230"/>
    </i>
    <i r="1">
      <x v="236"/>
    </i>
    <i r="1">
      <x v="233"/>
    </i>
    <i r="1">
      <x v="231"/>
    </i>
    <i r="1">
      <x v="213"/>
    </i>
    <i r="1">
      <x v="148"/>
    </i>
    <i r="1">
      <x v="235"/>
    </i>
    <i r="1">
      <x v="174"/>
    </i>
    <i r="1">
      <x v="162"/>
    </i>
    <i r="1">
      <x v="224"/>
    </i>
    <i r="1">
      <x v="208"/>
    </i>
    <i r="1">
      <x v="172"/>
    </i>
    <i r="1">
      <x v="210"/>
    </i>
    <i r="1">
      <x v="150"/>
    </i>
    <i r="1">
      <x v="251"/>
    </i>
    <i r="1">
      <x v="166"/>
    </i>
    <i r="1">
      <x v="154"/>
    </i>
    <i r="1">
      <x v="237"/>
    </i>
    <i r="1">
      <x v="152"/>
    </i>
    <i r="1">
      <x v="254"/>
    </i>
    <i r="1">
      <x v="184"/>
    </i>
    <i r="1">
      <x v="168"/>
    </i>
    <i r="1">
      <x v="186"/>
    </i>
    <i r="1">
      <x v="226"/>
    </i>
    <i r="1">
      <x v="229"/>
    </i>
    <i r="1">
      <x v="145"/>
    </i>
    <i r="1">
      <x v="207"/>
    </i>
    <i r="1">
      <x v="173"/>
    </i>
    <i r="1">
      <x v="209"/>
    </i>
    <i r="1">
      <x v="170"/>
    </i>
    <i r="1">
      <x v="219"/>
    </i>
    <i r="1">
      <x v="167"/>
    </i>
    <i r="1">
      <x v="239"/>
    </i>
    <i r="1">
      <x v="214"/>
    </i>
    <i r="1">
      <x v="222"/>
    </i>
    <i r="1">
      <x v="142"/>
    </i>
    <i r="1">
      <x v="211"/>
    </i>
    <i r="1">
      <x v="183"/>
    </i>
    <i r="1">
      <x v="223"/>
    </i>
    <i r="1">
      <x v="141"/>
    </i>
    <i r="1">
      <x v="143"/>
    </i>
    <i r="1">
      <x v="218"/>
    </i>
    <i r="1">
      <x v="216"/>
    </i>
    <i r="1">
      <x v="234"/>
    </i>
    <i r="1">
      <x v="147"/>
    </i>
    <i r="1">
      <x v="151"/>
    </i>
    <i r="1">
      <x v="146"/>
    </i>
    <i r="1">
      <x v="228"/>
    </i>
    <i r="1">
      <x v="221"/>
    </i>
    <i r="1">
      <x v="220"/>
    </i>
    <i r="1">
      <x v="249"/>
    </i>
    <i r="1">
      <x v="232"/>
    </i>
    <i r="1">
      <x v="215"/>
    </i>
    <i r="1">
      <x v="240"/>
    </i>
    <i r="1">
      <x v="180"/>
    </i>
    <i r="1">
      <x v="135"/>
    </i>
    <i r="1">
      <x v="238"/>
    </i>
    <i r="1">
      <x v="136"/>
    </i>
    <i r="1">
      <x v="140"/>
    </i>
    <i r="1">
      <x v="134"/>
    </i>
    <i r="1">
      <x v="144"/>
    </i>
    <i r="1">
      <x v="217"/>
    </i>
    <i r="1">
      <x v="248"/>
    </i>
    <i r="1">
      <x v="165"/>
    </i>
    <i r="1">
      <x v="191"/>
    </i>
    <i r="1">
      <x v="253"/>
    </i>
    <i r="1">
      <x v="193"/>
    </i>
    <i r="1">
      <x v="189"/>
    </i>
    <i r="1">
      <x v="137"/>
    </i>
    <i r="1">
      <x v="149"/>
    </i>
    <i r="1">
      <x v="182"/>
    </i>
    <i r="1">
      <x v="138"/>
    </i>
    <i r="1">
      <x v="197"/>
    </i>
    <i r="1">
      <x v="139"/>
    </i>
    <i r="1">
      <x v="153"/>
    </i>
    <i r="1">
      <x v="195"/>
    </i>
    <i r="1">
      <x v="205"/>
    </i>
    <i r="1">
      <x v="247"/>
    </i>
    <i r="1">
      <x v="188"/>
    </i>
    <i r="1">
      <x v="202"/>
    </i>
    <i r="1">
      <x v="155"/>
    </i>
    <i r="1">
      <x v="190"/>
    </i>
    <i r="1">
      <x v="185"/>
    </i>
    <i r="1">
      <x v="192"/>
    </i>
    <i r="1">
      <x v="206"/>
    </i>
    <i r="1">
      <x v="204"/>
    </i>
    <i r="1">
      <x v="201"/>
    </i>
    <i r="1">
      <x v="194"/>
    </i>
    <i r="1">
      <x v="203"/>
    </i>
    <i r="1">
      <x v="196"/>
    </i>
    <i r="1">
      <x v="187"/>
    </i>
    <i r="1">
      <x v="198"/>
    </i>
    <i r="1">
      <x v="200"/>
    </i>
    <i r="1">
      <x v="199"/>
    </i>
    <i r="1">
      <x v="164"/>
    </i>
    <i r="1">
      <x v="262"/>
    </i>
    <i r="1">
      <x v="227"/>
    </i>
    <i r="1">
      <x v="250"/>
    </i>
    <i>
      <x v="1"/>
    </i>
    <i r="1">
      <x v="283"/>
    </i>
    <i r="1">
      <x v="284"/>
    </i>
    <i r="1">
      <x v="285"/>
    </i>
    <i r="1">
      <x v="291"/>
    </i>
    <i r="1">
      <x v="292"/>
    </i>
    <i r="1">
      <x v="290"/>
    </i>
    <i r="1">
      <x v="266"/>
    </i>
    <i r="1">
      <x v="281"/>
    </i>
    <i r="1">
      <x v="265"/>
    </i>
    <i r="1">
      <x v="282"/>
    </i>
    <i r="1">
      <x v="263"/>
    </i>
    <i r="1">
      <x v="264"/>
    </i>
    <i r="1">
      <x v="267"/>
    </i>
    <i r="1">
      <x v="268"/>
    </i>
    <i r="1">
      <x v="280"/>
    </i>
    <i r="1">
      <x v="287"/>
    </i>
    <i r="1">
      <x v="288"/>
    </i>
    <i r="1">
      <x v="289"/>
    </i>
    <i r="1">
      <x v="286"/>
    </i>
    <i r="1">
      <x v="278"/>
    </i>
    <i r="1">
      <x v="277"/>
    </i>
    <i r="1">
      <x v="279"/>
    </i>
    <i r="1">
      <x v="276"/>
    </i>
    <i r="1">
      <x v="270"/>
    </i>
    <i r="1">
      <x v="274"/>
    </i>
    <i r="1">
      <x v="271"/>
    </i>
    <i r="1">
      <x v="273"/>
    </i>
    <i r="1">
      <x v="275"/>
    </i>
    <i r="1">
      <x v="272"/>
    </i>
    <i r="1">
      <x v="269"/>
    </i>
    <i>
      <x v="2"/>
    </i>
    <i r="1">
      <x v="297"/>
    </i>
    <i r="1">
      <x v="300"/>
    </i>
    <i r="1">
      <x v="299"/>
    </i>
    <i r="1">
      <x v="298"/>
    </i>
    <i r="1">
      <x v="294"/>
    </i>
    <i r="1">
      <x v="301"/>
    </i>
    <i r="1">
      <x v="293"/>
    </i>
    <i r="1">
      <x v="295"/>
    </i>
    <i r="1">
      <x v="296"/>
    </i>
    <i r="1">
      <x v="302"/>
    </i>
    <i r="1">
      <x v="308"/>
    </i>
    <i r="1">
      <x v="307"/>
    </i>
    <i r="1">
      <x v="306"/>
    </i>
    <i r="1">
      <x v="303"/>
    </i>
    <i r="1">
      <x v="305"/>
    </i>
    <i r="1">
      <x v="304"/>
    </i>
    <i t="grand">
      <x/>
    </i>
  </rowItems>
  <colItems count="1">
    <i/>
  </colItems>
  <dataFields count="1">
    <dataField name="FINAL SCORE " fld="34" baseField="0" baseItem="0" numFmtId="4"/>
  </dataFields>
  <formats count="2">
    <format dxfId="1378">
      <pivotArea outline="0" collapsedLevelsAreSubtotals="1" fieldPosition="0"/>
    </format>
    <format dxfId="137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1" xr16:uid="{F4D56624-724D-4EE6-A891-B9508875D88C}" autoFormatId="16" applyNumberFormats="0" applyBorderFormats="0" applyFontFormats="0" applyPatternFormats="0" applyAlignmentFormats="0" applyWidthHeightFormats="0">
  <queryTableRefresh nextId="39">
    <queryTableFields count="38">
      <queryTableField id="1" name="Name" tableColumnId="1"/>
      <queryTableField id="2" name="Start No." tableColumnId="2"/>
      <queryTableField id="3" name="Lane" tableColumnId="3"/>
      <queryTableField id="4" name="Category" tableColumnId="4"/>
      <queryTableField id="5" name="Age_x000a_Division" tableColumnId="5"/>
      <queryTableField id="6" name="Level" tableColumnId="6"/>
      <queryTableField id="7" name="Athlete" tableColumnId="7"/>
      <queryTableField id="8" name="Club" tableColumnId="8"/>
      <queryTableField id="9" name="Country" tableColumnId="9"/>
      <queryTableField id="10" name="Judge 1_x000a_Tamara Beljak" tableColumnId="10"/>
      <queryTableField id="11" name="J1 (-)" tableColumnId="11"/>
      <queryTableField id="12" name="J1 TOTAL" tableColumnId="12"/>
      <queryTableField id="13" name="J1 (Rank)" tableColumnId="13"/>
      <queryTableField id="14" name="Judge 2_x000a_Tihomir Bendelja" tableColumnId="14"/>
      <queryTableField id="15" name="J2 (-)" tableColumnId="15"/>
      <queryTableField id="16" name="J2 TOTAL" tableColumnId="16"/>
      <queryTableField id="17" name="J2 (Rank)" tableColumnId="17"/>
      <queryTableField id="18" name="Judge 3_x000a_Tea Softić" tableColumnId="18"/>
      <queryTableField id="19" name="J3 (-)" tableColumnId="19"/>
      <queryTableField id="20" name="J3 TOTAL" tableColumnId="20"/>
      <queryTableField id="21" name="J3 (Rank)" tableColumnId="21"/>
      <queryTableField id="22" name="Judge 4_x000a_Bernard Barač" tableColumnId="22"/>
      <queryTableField id="23" name="J4 (-)" tableColumnId="23"/>
      <queryTableField id="24" name="J4 TOTAL" tableColumnId="24"/>
      <queryTableField id="25" name="J4 (Rank)" tableColumnId="25"/>
      <queryTableField id="26" name="Judge 5_x000a_Barbara Novina" tableColumnId="26"/>
      <queryTableField id="27" name="J5 (-)" tableColumnId="27"/>
      <queryTableField id="28" name="J5 TOTAL" tableColumnId="28"/>
      <queryTableField id="29" name="J5 (Rank)" tableColumnId="29"/>
      <queryTableField id="30" name="Total" tableColumnId="30"/>
      <queryTableField id="31" name="Low" tableColumnId="31"/>
      <queryTableField id="32" name="High" tableColumnId="32"/>
      <queryTableField id="33" name="Final Total" tableColumnId="33"/>
      <queryTableField id="34" name="Avg" tableColumnId="34"/>
      <queryTableField id="35" name="FINAL SCORE" tableColumnId="35"/>
      <queryTableField id="36" name="Rank" tableColumnId="36"/>
      <queryTableField id="37" name="Category Type" tableColumnId="37"/>
      <queryTableField id="38" name="CONSOLIDATED" tableColumnId="38"/>
    </queryTableFields>
  </queryTableRefresh>
</queryTable>
</file>

<file path=xl/tables/_rels/table3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1162F75-BF5C-42F8-AD53-EF09939AAC81}" name="Twirling_Solo_F1B_Children" displayName="Twirling_Solo_F1B_Children" ref="A1:AJ4" totalsRowShown="0" headerRowDxfId="1331" dataDxfId="1330">
  <autoFilter ref="A1:AJ4" xr:uid="{042C9DAD-4CB0-4D2A-8C87-3D9863992DF4}"/>
  <sortState xmlns:xlrd2="http://schemas.microsoft.com/office/spreadsheetml/2017/richdata2" ref="A2:AJ4">
    <sortCondition ref="AI1:AI4"/>
  </sortState>
  <tableColumns count="36">
    <tableColumn id="1" xr3:uid="{DE03D826-3C21-4A32-B8C7-DD98F0614F76}" name="Start No." dataDxfId="1367"/>
    <tableColumn id="8" xr3:uid="{5FB48564-BF8D-493A-8F2B-D3F58D0CBF67}" name="Lane" dataDxfId="1366"/>
    <tableColumn id="9" xr3:uid="{9E5D55B3-99F6-489C-9F4E-6FB681AEDD5B}" name="Category" dataDxfId="1365"/>
    <tableColumn id="32" xr3:uid="{2F7FE5CF-C092-4575-907A-B63DDDCE6715}" name="Age_x000a_Division" dataDxfId="1364"/>
    <tableColumn id="40" xr3:uid="{E7CE2C80-77F0-4011-BF6A-E600DFAC48B1}" name="Level" dataDxfId="1363"/>
    <tableColumn id="4" xr3:uid="{9581FC88-651B-4252-B50F-E6536D771B00}" name="Athlete" dataDxfId="1362"/>
    <tableColumn id="38" xr3:uid="{B8A8BE5D-D2BF-4DE3-A24D-4593A1C24BA4}" name="Club" dataDxfId="1361"/>
    <tableColumn id="37" xr3:uid="{705C9DC2-3B29-4078-9E3C-B6329FA8F593}" name="Country" dataDxfId="1360"/>
    <tableColumn id="15" xr3:uid="{041C2B49-7740-4A3D-A9BE-FAE0CC1B7312}" name="Judge 1_x000a_Tamara Beljak" dataDxfId="1359"/>
    <tableColumn id="33" xr3:uid="{856B45EB-DA8F-45F9-968D-CF356F45D0A9}" name="J1 (-)" dataDxfId="1358"/>
    <tableColumn id="26" xr3:uid="{2B416FD2-7CAC-4D6C-B25B-57F95F759482}" name="J1 TOTAL" dataDxfId="1357">
      <calculatedColumnFormula>Twirling_Solo_F1B_Children[[#This Row],[Judge 1
Tamara Beljak]]-J2</calculatedColumnFormula>
    </tableColumn>
    <tableColumn id="3" xr3:uid="{C0E8232B-E71F-4ED0-8DEE-4A289AC2B145}" name="J1 (Rank)" dataDxfId="1356">
      <calculatedColumnFormula>COUNTIFS(Twirling_Solo_F1B_Children[Age
Division],Twirling_Solo_F1B_Children[[#This Row],[Age
Division]],Twirling_Solo_F1B_Children[Category],Twirling_Solo_F1B_Children[[#This Row],[Category]],Twirling_Solo_F1B_Children[J1 TOTAL],"&gt;"&amp;Twirling_Solo_F1B_Children[[#This Row],[J1 TOTAL]])+1</calculatedColumnFormula>
    </tableColumn>
    <tableColumn id="16" xr3:uid="{B830C189-CB04-4126-91B0-8D3AE54F707E}" name="Judge 2_x000a_Tihomir Bendelja" dataDxfId="1355"/>
    <tableColumn id="34" xr3:uid="{D00EE09A-40C8-4CCA-9954-709204A42FEA}" name="J2 (-)" dataDxfId="1354"/>
    <tableColumn id="28" xr3:uid="{69D53097-E3C4-46ED-9C5D-07915AFF6AE4}" name="J2 TOTAL" dataDxfId="1353">
      <calculatedColumnFormula>Twirling_Solo_F1B_Children[[#This Row],[Judge 2
Tihomir Bendelja]]-Twirling_Solo_F1B_Children[[#This Row],[J2 (-)]]</calculatedColumnFormula>
    </tableColumn>
    <tableColumn id="5" xr3:uid="{89C19E5B-B71A-47F3-B89E-D1704584EEDE}" name="J2 (Rank)" dataDxfId="1352">
      <calculatedColumnFormula>COUNTIFS(Twirling_Solo_F1B_Children[Age
Division],Twirling_Solo_F1B_Children[[#This Row],[Age
Division]],Twirling_Solo_F1B_Children[Category],Twirling_Solo_F1B_Children[[#This Row],[Category]],Twirling_Solo_F1B_Children[J2 TOTAL],"&gt;"&amp;Twirling_Solo_F1B_Children[[#This Row],[J2 TOTAL]])+1</calculatedColumnFormula>
    </tableColumn>
    <tableColumn id="17" xr3:uid="{F6B132BD-A962-4552-974D-4EDD310F1594}" name="Judge 3_x000a_Tea Softić" dataDxfId="1351"/>
    <tableColumn id="35" xr3:uid="{21716E94-6715-4734-9086-4FB9A4398E00}" name="J3 (-)" dataDxfId="1350"/>
    <tableColumn id="30" xr3:uid="{348B6392-E3DA-4246-905C-AED9D90F1900}" name="J3 TOTAL" dataDxfId="1349">
      <calculatedColumnFormula>Twirling_Solo_F1B_Children[[#This Row],[Judge 3
Tea Softić]]-R2</calculatedColumnFormula>
    </tableColumn>
    <tableColumn id="6" xr3:uid="{8518DBF3-C6C9-4B9F-9066-518486198EF6}" name="J3 (Rank)" dataDxfId="1348">
      <calculatedColumnFormula>COUNTIFS(Twirling_Solo_F1B_Children[Age
Division],Twirling_Solo_F1B_Children[[#This Row],[Age
Division]],Twirling_Solo_F1B_Children[Category],Twirling_Solo_F1B_Children[[#This Row],[Category]],Twirling_Solo_F1B_Children[J3 TOTAL],"&gt;"&amp;Twirling_Solo_F1B_Children[[#This Row],[J3 TOTAL]])+1</calculatedColumnFormula>
    </tableColumn>
    <tableColumn id="18" xr3:uid="{0374E4F7-6FAB-4E98-B506-1AD1A2F60728}" name="Judge 4_x000a_Bernard Barač" dataDxfId="1347"/>
    <tableColumn id="36" xr3:uid="{D7AC6780-5373-44CD-8A50-93E6D6D3AD99}" name="J4 (-)" dataDxfId="1346"/>
    <tableColumn id="31" xr3:uid="{653EF0ED-9D55-44B1-BCAF-1783645DB367}" name="J4 TOTAL" dataDxfId="1345">
      <calculatedColumnFormula>Twirling_Solo_F1B_Children[[#This Row],[Judge 4
Bernard Barač]]-V2</calculatedColumnFormula>
    </tableColumn>
    <tableColumn id="7" xr3:uid="{1471524E-6135-4C30-AB13-547EFC659672}" name="J4 (Rank)" dataDxfId="1344">
      <calculatedColumnFormula>COUNTIFS(Twirling_Solo_F1B_Children[Age
Division],Twirling_Solo_F1B_Children[[#This Row],[Age
Division]],Twirling_Solo_F1B_Children[Category],Twirling_Solo_F1B_Children[[#This Row],[Category]],Twirling_Solo_F1B_Children[J4 TOTAL],"&gt;"&amp;Twirling_Solo_F1B_Children[[#This Row],[J4 TOTAL]])+1</calculatedColumnFormula>
    </tableColumn>
    <tableColumn id="12" xr3:uid="{2195C47B-40B8-4AB0-AB36-D8D7361A179A}" name="Judge 5_x000a_Barbara Novina" dataDxfId="1343"/>
    <tableColumn id="11" xr3:uid="{8F1FBD83-3137-4C34-A1EF-EEC0F9AC0131}" name="J5 (-)" dataDxfId="1342"/>
    <tableColumn id="10" xr3:uid="{25FF02BF-29C2-4954-9CB0-12312D74775D}" name="J5 TOTAL" dataDxfId="1341">
      <calculatedColumnFormula>Twirling_Solo_F1B_Children[[#This Row],[Judge 5
Barbara Novina]]-Z2</calculatedColumnFormula>
    </tableColumn>
    <tableColumn id="2" xr3:uid="{617E326B-C3F8-478F-953A-2C4B1746F121}" name="J5 (Rank)" dataDxfId="1340">
      <calculatedColumnFormula>COUNTIFS(Twirling_Solo_F1B_Children[Age
Division],Twirling_Solo_F1B_Children[[#This Row],[Age
Division]],Twirling_Solo_F1B_Children[Category],Twirling_Solo_F1B_Children[[#This Row],[Category]],Twirling_Solo_F1B_Children[J5 TOTAL],"&gt;"&amp;Twirling_Solo_F1B_Children[[#This Row],[J5 TOTAL]])+1</calculatedColumnFormula>
    </tableColumn>
    <tableColumn id="20" xr3:uid="{ADDC5D5E-5221-4CA6-9491-7DD6557A3699}" name="Total" dataDxfId="1339">
      <calculatedColumnFormula>SUM(Twirling_Solo_F1B_Children[[#This Row],[J1 TOTAL]]+Twirling_Solo_F1B_Children[[#This Row],[J2 TOTAL]]+Twirling_Solo_F1B_Children[[#This Row],[J3 TOTAL]]+Twirling_Solo_F1B_Children[[#This Row],[J4 TOTAL]])+Twirling_Solo_F1B_Children[[#This Row],[J5 TOTAL]]</calculatedColumnFormula>
    </tableColumn>
    <tableColumn id="23" xr3:uid="{D7A72F0D-2A23-4ACD-934F-B687B8A792F7}" name="Low" dataDxfId="1338"/>
    <tableColumn id="19" xr3:uid="{79504D2F-D524-4264-BE36-7F5913D69556}" name="High" dataDxfId="1337"/>
    <tableColumn id="25" xr3:uid="{71C1E977-8877-4B6A-8D3E-E21748F864F5}" name="Final Total" dataDxfId="1336">
      <calculatedColumnFormula>SUM(Twirling_Solo_F1B_Children[[#This Row],[Total]]-Twirling_Solo_F1B_Children[[#This Row],[Low]]-Twirling_Solo_F1B_Children[[#This Row],[High]])</calculatedColumnFormula>
    </tableColumn>
    <tableColumn id="24" xr3:uid="{0D24C637-D789-4F93-9A17-74A0EE208313}" name="Avg" dataDxfId="1335">
      <calculatedColumnFormula>AVERAGE(I2,M2,Q2,U2,Y2)</calculatedColumnFormula>
    </tableColumn>
    <tableColumn id="22" xr3:uid="{43CA8472-602A-4D4F-BE6F-C60FEB8E56E4}" name="FINAL SCORE" dataDxfId="1334">
      <calculatedColumnFormula>Twirling_Solo_F1B_Children[[#This Row],[Final Total]]</calculatedColumnFormula>
    </tableColumn>
    <tableColumn id="27" xr3:uid="{44C6A285-DB03-49EC-B988-3995E70462B8}" name="Rank" dataDxfId="1333">
      <calculatedColumnFormula>COUNTIFS(Twirling_Solo_F1B_Children[Age
Division],Twirling_Solo_F1B_Children[[#This Row],[Age
Division]],Twirling_Solo_F1B_Children[Category],Twirling_Solo_F1B_Children[[#This Row],[Category]],Twirling_Solo_F1B_Children[FINAL SCORE],"&gt;"&amp;Twirling_Solo_F1B_Children[[#This Row],[FINAL SCORE]])+1</calculatedColumnFormula>
    </tableColumn>
    <tableColumn id="39" xr3:uid="{3F6A1304-92B8-44A4-908E-909EEED92C26}" name="Category Type" dataDxfId="133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3ABE9A0-083D-44DC-BC6E-93F087EA296B}" name="Twirling_Solo_F2B_Senior_Lower_Level" displayName="Twirling_Solo_F2B_Senior_Lower_Level" ref="A1:AJ3" totalsRowShown="0" headerRowDxfId="989" dataDxfId="988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6F268EBC-AD16-4E73-94F7-85C5F30D4ADE}" name="Start No." dataDxfId="1025"/>
    <tableColumn id="8" xr3:uid="{3C2A1BA6-AEE6-4C3C-B80A-CCDBDB086A30}" name="Lane" dataDxfId="1024"/>
    <tableColumn id="9" xr3:uid="{65AAEE3A-11D6-425B-A102-3014BB58A86F}" name="Category" dataDxfId="1023"/>
    <tableColumn id="32" xr3:uid="{A2404F47-8E22-4230-91A0-28574201B1A1}" name="Age_x000a_Division" dataDxfId="1022"/>
    <tableColumn id="40" xr3:uid="{5E0C6755-37EC-4532-BA88-8DD5EC34D1CA}" name="Level" dataDxfId="1021"/>
    <tableColumn id="4" xr3:uid="{65A3876A-498A-4727-9666-69BE6D15CFAB}" name="Athlete" dataDxfId="1020"/>
    <tableColumn id="38" xr3:uid="{60F19E29-7C40-4814-BE91-9A385DBF114F}" name="Club" dataDxfId="1019"/>
    <tableColumn id="37" xr3:uid="{43BF6810-9DBB-4067-86A2-82055271E918}" name="Country" dataDxfId="1018"/>
    <tableColumn id="15" xr3:uid="{C90274E5-8DCD-4F0F-80E4-432E6BF1695C}" name="Judge 1_x000a_Tamara Beljak" dataDxfId="1017"/>
    <tableColumn id="33" xr3:uid="{47D2661C-7B60-45C1-A022-400D96A5A384}" name="J1 (-)" dataDxfId="1016"/>
    <tableColumn id="26" xr3:uid="{2C78FA4A-091B-4855-B92A-36EAB6161418}" name="J1 TOTAL" dataDxfId="1015">
      <calculatedColumnFormula>Twirling_Solo_F2B_Senior_Lower_Level[[#This Row],[Judge 1
Tamara Beljak]]-J2</calculatedColumnFormula>
    </tableColumn>
    <tableColumn id="3" xr3:uid="{2424836B-9B8C-4477-B267-916E4FE4D9BE}" name="J1 (Rank)" dataDxfId="1014">
      <calculatedColumnFormula>COUNTIFS(Twirling_Solo_F2B_Senior_Lower_Level[Age
Division],Twirling_Solo_F2B_Senior_Lower_Level[[#This Row],[Age
Division]],Twirling_Solo_F2B_Senior_Lower_Level[Category],Twirling_Solo_F2B_Senior_Lower_Level[[#This Row],[Category]],Twirling_Solo_F2B_Senior_Lower_Level[J1 TOTAL],"&gt;"&amp;Twirling_Solo_F2B_Senior_Lower_Level[[#This Row],[J1 TOTAL]])+1</calculatedColumnFormula>
    </tableColumn>
    <tableColumn id="16" xr3:uid="{1FF82C71-36A2-4C2B-8428-F5BDF4EED43A}" name="Judge 2_x000a_Tihomir Bendelja" dataDxfId="1013"/>
    <tableColumn id="34" xr3:uid="{97C02472-0493-48E5-BB6F-BBF080E37A91}" name="J2 (-)" dataDxfId="1012"/>
    <tableColumn id="28" xr3:uid="{6C9640C3-CC8D-496B-A22E-F65BEDA5657B}" name="J2 TOTAL" dataDxfId="1011">
      <calculatedColumnFormula>Twirling_Solo_F2B_Senior_Lower_Level[[#This Row],[Judge 2
Tihomir Bendelja]]-Twirling_Solo_F2B_Senior_Lower_Level[[#This Row],[J2 (-)]]</calculatedColumnFormula>
    </tableColumn>
    <tableColumn id="5" xr3:uid="{8700E543-9964-479D-98B9-8A22BBFB404A}" name="J2 (Rank)" dataDxfId="1010">
      <calculatedColumnFormula>COUNTIFS(Twirling_Solo_F2B_Senior_Lower_Level[Age
Division],Twirling_Solo_F2B_Senior_Lower_Level[[#This Row],[Age
Division]],Twirling_Solo_F2B_Senior_Lower_Level[Category],Twirling_Solo_F2B_Senior_Lower_Level[[#This Row],[Category]],Twirling_Solo_F2B_Senior_Lower_Level[J2 TOTAL],"&gt;"&amp;Twirling_Solo_F2B_Senior_Lower_Level[[#This Row],[J2 TOTAL]])+1</calculatedColumnFormula>
    </tableColumn>
    <tableColumn id="17" xr3:uid="{BB85B3C0-5075-49EA-BAB9-79675563C718}" name="Judge 3_x000a_Tea Softić" dataDxfId="1009"/>
    <tableColumn id="35" xr3:uid="{0830151B-40C7-423F-AAA8-BD7871599F9A}" name="J3 (-)" dataDxfId="1008"/>
    <tableColumn id="30" xr3:uid="{95BE739A-991D-45FD-86D1-82F159E130E9}" name="J3 TOTAL" dataDxfId="1007">
      <calculatedColumnFormula>Twirling_Solo_F2B_Senior_Lower_Level[[#This Row],[Judge 3
Tea Softić]]-R2</calculatedColumnFormula>
    </tableColumn>
    <tableColumn id="6" xr3:uid="{DC8F0874-3262-4D18-A13F-18E7A09480B7}" name="J3 (Rank)" dataDxfId="1006">
      <calculatedColumnFormula>COUNTIFS(Twirling_Solo_F2B_Senior_Lower_Level[Age
Division],Twirling_Solo_F2B_Senior_Lower_Level[[#This Row],[Age
Division]],Twirling_Solo_F2B_Senior_Lower_Level[Category],Twirling_Solo_F2B_Senior_Lower_Level[[#This Row],[Category]],Twirling_Solo_F2B_Senior_Lower_Level[J3 TOTAL],"&gt;"&amp;Twirling_Solo_F2B_Senior_Lower_Level[[#This Row],[J3 TOTAL]])+1</calculatedColumnFormula>
    </tableColumn>
    <tableColumn id="18" xr3:uid="{81E1FCEF-D125-45D7-8CA1-B78227469E37}" name="Judge 4_x000a_Bernard Barač" dataDxfId="1005"/>
    <tableColumn id="36" xr3:uid="{BFEC89BB-621F-4F7F-8F9E-B1C0A50E0A6A}" name="J4 (-)" dataDxfId="1004"/>
    <tableColumn id="31" xr3:uid="{1AA1D9D4-39C6-4C84-9AC1-37BD226289D7}" name="J4 TOTAL" dataDxfId="1003">
      <calculatedColumnFormula>Twirling_Solo_F2B_Senior_Lower_Level[[#This Row],[Judge 4
Bernard Barač]]-V2</calculatedColumnFormula>
    </tableColumn>
    <tableColumn id="7" xr3:uid="{76F8661C-C640-4C30-870A-CEE4A0A26342}" name="J4 (Rank)" dataDxfId="1002">
      <calculatedColumnFormula>COUNTIFS(Twirling_Solo_F2B_Senior_Lower_Level[Age
Division],Twirling_Solo_F2B_Senior_Lower_Level[[#This Row],[Age
Division]],Twirling_Solo_F2B_Senior_Lower_Level[Category],Twirling_Solo_F2B_Senior_Lower_Level[[#This Row],[Category]],Twirling_Solo_F2B_Senior_Lower_Level[J4 TOTAL],"&gt;"&amp;Twirling_Solo_F2B_Senior_Lower_Level[[#This Row],[J4 TOTAL]])+1</calculatedColumnFormula>
    </tableColumn>
    <tableColumn id="12" xr3:uid="{20230369-1C29-43B6-9A16-80F717A42662}" name="Judge 5_x000a_Barbara Novina" dataDxfId="1001"/>
    <tableColumn id="11" xr3:uid="{278E47FB-2B16-4EEC-A7BC-FAED3076A98B}" name="J5 (-)" dataDxfId="1000"/>
    <tableColumn id="10" xr3:uid="{7239461F-2364-4902-810A-553CA1A50C88}" name="J5 TOTAL" dataDxfId="999">
      <calculatedColumnFormula>Twirling_Solo_F2B_Senior_Lower_Level[[#This Row],[Judge 5
Barbara Novina]]-Z2</calculatedColumnFormula>
    </tableColumn>
    <tableColumn id="2" xr3:uid="{2E0EE728-DDE9-4155-A5AB-85D2048CA5F2}" name="J5 (Rank)" dataDxfId="998">
      <calculatedColumnFormula>COUNTIFS(Twirling_Solo_F2B_Senior_Lower_Level[Age
Division],Twirling_Solo_F2B_Senior_Lower_Level[[#This Row],[Age
Division]],Twirling_Solo_F2B_Senior_Lower_Level[Category],Twirling_Solo_F2B_Senior_Lower_Level[[#This Row],[Category]],Twirling_Solo_F2B_Senior_Lower_Level[J5 TOTAL],"&gt;"&amp;Twirling_Solo_F2B_Senior_Lower_Level[[#This Row],[J5 TOTAL]])+1</calculatedColumnFormula>
    </tableColumn>
    <tableColumn id="20" xr3:uid="{4681656F-E3B1-457A-8D44-7F052DDEB2A0}" name="Total" dataDxfId="997">
      <calculatedColumnFormula>SUM(Twirling_Solo_F2B_Senior_Lower_Level[[#This Row],[J1 TOTAL]]+Twirling_Solo_F2B_Senior_Lower_Level[[#This Row],[J2 TOTAL]]+Twirling_Solo_F2B_Senior_Lower_Level[[#This Row],[J3 TOTAL]]+Twirling_Solo_F2B_Senior_Lower_Level[[#This Row],[J4 TOTAL]])+Twirling_Solo_F2B_Senior_Lower_Level[[#This Row],[J5 TOTAL]]</calculatedColumnFormula>
    </tableColumn>
    <tableColumn id="23" xr3:uid="{690184AC-E9AE-4A40-817A-094A0F79B520}" name="Low" dataDxfId="996"/>
    <tableColumn id="19" xr3:uid="{3269B517-5A94-43C8-B0E4-A72C2DE893F9}" name="High" dataDxfId="995"/>
    <tableColumn id="25" xr3:uid="{00D57868-FC71-454C-B5A0-17305FFCF87F}" name="Final Total" dataDxfId="994">
      <calculatedColumnFormula>SUM(Twirling_Solo_F2B_Senior_Lower_Level[[#This Row],[Total]]-Twirling_Solo_F2B_Senior_Lower_Level[[#This Row],[Low]]-Twirling_Solo_F2B_Senior_Lower_Level[[#This Row],[High]])</calculatedColumnFormula>
    </tableColumn>
    <tableColumn id="24" xr3:uid="{E9851179-AD7B-440E-80FD-FC4C58C37FFF}" name="Avg" dataDxfId="993">
      <calculatedColumnFormula>AVERAGE(I2,M2,Q2,U2,Y2)</calculatedColumnFormula>
    </tableColumn>
    <tableColumn id="22" xr3:uid="{AF5EB6DE-6830-4A63-B98F-5BCC6D5907AE}" name="FINAL SCORE" dataDxfId="992">
      <calculatedColumnFormula>Twirling_Solo_F2B_Senior_Lower_Level[[#This Row],[Final Total]]</calculatedColumnFormula>
    </tableColumn>
    <tableColumn id="27" xr3:uid="{F431DE2D-E2F8-47FC-9128-EA7CBB624C1D}" name="Rank" dataDxfId="991">
      <calculatedColumnFormula>COUNTIFS(Twirling_Solo_F2B_Senior_Lower_Level[Age
Division],Twirling_Solo_F2B_Senior_Lower_Level[[#This Row],[Age
Division]],Twirling_Solo_F2B_Senior_Lower_Level[Category],Twirling_Solo_F2B_Senior_Lower_Level[[#This Row],[Category]],Twirling_Solo_F2B_Senior_Lower_Level[FINAL SCORE],"&gt;"&amp;Twirling_Solo_F2B_Senior_Lower_Level[[#This Row],[FINAL SCORE]])+1</calculatedColumnFormula>
    </tableColumn>
    <tableColumn id="39" xr3:uid="{C3575F76-F0A7-4072-B667-964754A88734}" name="Category Type" dataDxfId="990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E587BC9-2635-4B42-B23A-95B99E7D6DAE}" name="Twirling_Solo_F2B_Cadet_Lower_Level" displayName="Twirling_Solo_F2B_Cadet_Lower_Level" ref="A1:AJ2" totalsRowShown="0" headerRowDxfId="951" dataDxfId="950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0A57FA8C-B7BC-4B5F-B13E-030DCCB626CC}" name="Start No." dataDxfId="987"/>
    <tableColumn id="8" xr3:uid="{13105114-AD94-481E-9014-368E7AAF89CF}" name="Lane" dataDxfId="986"/>
    <tableColumn id="9" xr3:uid="{4E5F4D38-21DA-486F-B72E-1BEBCC2409D0}" name="Category" dataDxfId="985"/>
    <tableColumn id="32" xr3:uid="{C4F0F6C4-DB05-47D7-9DAB-14C2C1D8B307}" name="Age_x000a_Division" dataDxfId="984"/>
    <tableColumn id="40" xr3:uid="{5C9F1EDC-4F48-4EE5-89B5-CB8857F9FEA4}" name="Level" dataDxfId="983"/>
    <tableColumn id="4" xr3:uid="{89094E44-D663-46F1-BF6F-50C96C8C380B}" name="Athlete" dataDxfId="982"/>
    <tableColumn id="38" xr3:uid="{F8A6D478-CF05-41E4-8753-56D567B6539D}" name="Club" dataDxfId="981"/>
    <tableColumn id="37" xr3:uid="{676D9CB8-FF72-4163-9761-FA5F3FBDA2D6}" name="Country" dataDxfId="980"/>
    <tableColumn id="15" xr3:uid="{DE6A6F56-5694-46EB-A7B9-11CAB1D358E0}" name="Judge 1_x000a_Tamara Beljak" dataDxfId="979"/>
    <tableColumn id="33" xr3:uid="{E83611DD-1E3E-4CA8-95E5-1A6B1DCEEB5B}" name="J1 (-)" dataDxfId="978"/>
    <tableColumn id="26" xr3:uid="{47D53464-0625-4CCB-83F6-FECCE1967A8C}" name="J1 TOTAL" dataDxfId="977">
      <calculatedColumnFormula>Twirling_Solo_F2B_Cadet_Lower_Level[[#This Row],[Judge 1
Tamara Beljak]]-J2</calculatedColumnFormula>
    </tableColumn>
    <tableColumn id="3" xr3:uid="{84852445-D0B0-4A5C-BA3D-4C9E2039AB06}" name="J1 (Rank)" dataDxfId="976">
      <calculatedColumnFormula>COUNTIFS(Twirling_Solo_F2B_Cadet_Lower_Level[Age
Division],Twirling_Solo_F2B_Cadet_Lower_Level[[#This Row],[Age
Division]],Twirling_Solo_F2B_Cadet_Lower_Level[Category],Twirling_Solo_F2B_Cadet_Lower_Level[[#This Row],[Category]],Twirling_Solo_F2B_Cadet_Lower_Level[J1 TOTAL],"&gt;"&amp;Twirling_Solo_F2B_Cadet_Lower_Level[[#This Row],[J1 TOTAL]])+1</calculatedColumnFormula>
    </tableColumn>
    <tableColumn id="16" xr3:uid="{0B4AD596-F545-4882-9D50-C5448644259B}" name="Judge 2_x000a_Tihomir Bendelja" dataDxfId="975"/>
    <tableColumn id="34" xr3:uid="{D9327EB0-3FC6-46CA-8A70-69BC705642AE}" name="J2 (-)" dataDxfId="974"/>
    <tableColumn id="28" xr3:uid="{091162D7-A647-472C-838F-F6ED41C18B78}" name="J2 TOTAL" dataDxfId="973">
      <calculatedColumnFormula>Twirling_Solo_F2B_Cadet_Lower_Level[[#This Row],[Judge 2
Tihomir Bendelja]]-Twirling_Solo_F2B_Cadet_Lower_Level[[#This Row],[J2 (-)]]</calculatedColumnFormula>
    </tableColumn>
    <tableColumn id="5" xr3:uid="{D6FFC980-3252-4DC9-8D66-229F05E3CA2B}" name="J2 (Rank)" dataDxfId="972">
      <calculatedColumnFormula>COUNTIFS(Twirling_Solo_F2B_Cadet_Lower_Level[Age
Division],Twirling_Solo_F2B_Cadet_Lower_Level[[#This Row],[Age
Division]],Twirling_Solo_F2B_Cadet_Lower_Level[Category],Twirling_Solo_F2B_Cadet_Lower_Level[[#This Row],[Category]],Twirling_Solo_F2B_Cadet_Lower_Level[J2 TOTAL],"&gt;"&amp;Twirling_Solo_F2B_Cadet_Lower_Level[[#This Row],[J2 TOTAL]])+1</calculatedColumnFormula>
    </tableColumn>
    <tableColumn id="17" xr3:uid="{EFA1B317-0C4A-4725-A59A-C1F27E7F6D96}" name="Judge 3_x000a_Tea Softić" dataDxfId="971"/>
    <tableColumn id="35" xr3:uid="{6F2A2218-1AE7-4033-8FB7-871CB743B6C2}" name="J3 (-)" dataDxfId="970"/>
    <tableColumn id="30" xr3:uid="{ED339F40-EDD9-490F-9661-5EA217FC37E6}" name="J3 TOTAL" dataDxfId="969">
      <calculatedColumnFormula>Twirling_Solo_F2B_Cadet_Lower_Level[[#This Row],[Judge 3
Tea Softić]]-R2</calculatedColumnFormula>
    </tableColumn>
    <tableColumn id="6" xr3:uid="{ECD7C483-3DE8-4C0E-8F29-FF900DB3F0C6}" name="J3 (Rank)" dataDxfId="968">
      <calculatedColumnFormula>COUNTIFS(Twirling_Solo_F2B_Cadet_Lower_Level[Age
Division],Twirling_Solo_F2B_Cadet_Lower_Level[[#This Row],[Age
Division]],Twirling_Solo_F2B_Cadet_Lower_Level[Category],Twirling_Solo_F2B_Cadet_Lower_Level[[#This Row],[Category]],Twirling_Solo_F2B_Cadet_Lower_Level[J3 TOTAL],"&gt;"&amp;Twirling_Solo_F2B_Cadet_Lower_Level[[#This Row],[J3 TOTAL]])+1</calculatedColumnFormula>
    </tableColumn>
    <tableColumn id="18" xr3:uid="{BE8E0731-C7B6-4962-9357-75DB4C2345C3}" name="Judge 4_x000a_Bernard Barač" dataDxfId="967"/>
    <tableColumn id="36" xr3:uid="{3B4CA970-C4CF-41F2-9C73-97EBC09DA608}" name="J4 (-)" dataDxfId="966"/>
    <tableColumn id="31" xr3:uid="{2A6BE49B-1CB6-4A3F-B738-21BB909F0CD6}" name="J4 TOTAL" dataDxfId="965">
      <calculatedColumnFormula>Twirling_Solo_F2B_Cadet_Lower_Level[[#This Row],[Judge 4
Bernard Barač]]-V2</calculatedColumnFormula>
    </tableColumn>
    <tableColumn id="7" xr3:uid="{9DD76A9F-AE42-47D6-8EB6-F1BD067394A0}" name="J4 (Rank)" dataDxfId="964">
      <calculatedColumnFormula>COUNTIFS(Twirling_Solo_F2B_Cadet_Lower_Level[Age
Division],Twirling_Solo_F2B_Cadet_Lower_Level[[#This Row],[Age
Division]],Twirling_Solo_F2B_Cadet_Lower_Level[Category],Twirling_Solo_F2B_Cadet_Lower_Level[[#This Row],[Category]],Twirling_Solo_F2B_Cadet_Lower_Level[J4 TOTAL],"&gt;"&amp;Twirling_Solo_F2B_Cadet_Lower_Level[[#This Row],[J4 TOTAL]])+1</calculatedColumnFormula>
    </tableColumn>
    <tableColumn id="12" xr3:uid="{7010405F-826C-4038-BEC5-60A0207CFA8C}" name="Judge 5_x000a_Barbara Novina" dataDxfId="963"/>
    <tableColumn id="11" xr3:uid="{10DD3E6F-A3D5-449B-9166-CFBD69111876}" name="J5 (-)" dataDxfId="962"/>
    <tableColumn id="10" xr3:uid="{A6E010C0-3C01-4F30-B2DA-77C913C15F48}" name="J5 TOTAL" dataDxfId="961">
      <calculatedColumnFormula>Twirling_Solo_F2B_Cadet_Lower_Level[[#This Row],[Judge 5
Barbara Novina]]-Y2</calculatedColumnFormula>
    </tableColumn>
    <tableColumn id="2" xr3:uid="{6C83F58A-560A-48CC-8D03-6C645CA3F119}" name="J5 (Rank)" dataDxfId="960">
      <calculatedColumnFormula>COUNTIFS(Twirling_Solo_F2B_Cadet_Lower_Level[Age
Division],Twirling_Solo_F2B_Cadet_Lower_Level[[#This Row],[Age
Division]],Twirling_Solo_F2B_Cadet_Lower_Level[Category],Twirling_Solo_F2B_Cadet_Lower_Level[[#This Row],[Category]],Twirling_Solo_F2B_Cadet_Lower_Level[J5 TOTAL],"&gt;"&amp;Twirling_Solo_F2B_Cadet_Lower_Level[[#This Row],[J5 TOTAL]])+1</calculatedColumnFormula>
    </tableColumn>
    <tableColumn id="20" xr3:uid="{16F24383-E55C-4305-B40D-ABEEDB7608DC}" name="Total" dataDxfId="959">
      <calculatedColumnFormula>SUM(Twirling_Solo_F2B_Cadet_Lower_Level[[#This Row],[J1 TOTAL]]+Twirling_Solo_F2B_Cadet_Lower_Level[[#This Row],[J2 TOTAL]]+Twirling_Solo_F2B_Cadet_Lower_Level[[#This Row],[J3 TOTAL]]+Twirling_Solo_F2B_Cadet_Lower_Level[[#This Row],[J4 TOTAL]])+Twirling_Solo_F2B_Cadet_Lower_Level[[#This Row],[J5 TOTAL]]</calculatedColumnFormula>
    </tableColumn>
    <tableColumn id="23" xr3:uid="{5CBE532D-C322-45B4-9070-CB2B6393492D}" name="Low" dataDxfId="958"/>
    <tableColumn id="19" xr3:uid="{42BE88A7-6FE9-4028-B698-A3FA6976C294}" name="High" dataDxfId="957"/>
    <tableColumn id="25" xr3:uid="{948B1838-F0A7-4CF1-A565-7145C5A90394}" name="Final Total" dataDxfId="956">
      <calculatedColumnFormula>SUM(Twirling_Solo_F2B_Cadet_Lower_Level[[#This Row],[Total]]-Twirling_Solo_F2B_Cadet_Lower_Level[[#This Row],[Low]]-Twirling_Solo_F2B_Cadet_Lower_Level[[#This Row],[High]])</calculatedColumnFormula>
    </tableColumn>
    <tableColumn id="24" xr3:uid="{377687B1-0E32-4248-BD3D-B19F310A6309}" name="Avg" dataDxfId="955">
      <calculatedColumnFormula>AVERAGE(I2,M2,Q2,U2,Y2)</calculatedColumnFormula>
    </tableColumn>
    <tableColumn id="22" xr3:uid="{E5165219-F432-4FEA-985B-A5DE8881FDF5}" name="FINAL SCORE" dataDxfId="954">
      <calculatedColumnFormula>Twirling_Solo_F2B_Cadet_Lower_Level[[#This Row],[Final Total]]</calculatedColumnFormula>
    </tableColumn>
    <tableColumn id="27" xr3:uid="{100C13A6-6F55-43A5-B62E-8A804425F65E}" name="Rank" dataDxfId="953">
      <calculatedColumnFormula>COUNTIFS(Twirling_Solo_F2B_Cadet_Lower_Level[Age
Division],Twirling_Solo_F2B_Cadet_Lower_Level[[#This Row],[Age
Division]],Twirling_Solo_F2B_Cadet_Lower_Level[Category],Twirling_Solo_F2B_Cadet_Lower_Level[[#This Row],[Category]],Twirling_Solo_F2B_Cadet_Lower_Level[FINAL SCORE],"&gt;"&amp;Twirling_Solo_F2B_Cadet_Lower_Level[[#This Row],[FINAL SCORE]])+1</calculatedColumnFormula>
    </tableColumn>
    <tableColumn id="39" xr3:uid="{C343F7D1-AF03-4E3C-A260-0DF930E8D31E}" name="Category Type" dataDxfId="952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30DEFD9F-0CF2-4F5D-82D7-22F6896BE069}" name="Twirling_Solo_F2B_Junior_Lower_Level" displayName="Twirling_Solo_F2B_Junior_Lower_Level" ref="A1:AJ5" totalsRowShown="0" headerRowDxfId="913" dataDxfId="912">
  <autoFilter ref="A1:AJ5" xr:uid="{042C9DAD-4CB0-4D2A-8C87-3D9863992DF4}"/>
  <sortState xmlns:xlrd2="http://schemas.microsoft.com/office/spreadsheetml/2017/richdata2" ref="A2:AJ5">
    <sortCondition ref="AI1:AI5"/>
  </sortState>
  <tableColumns count="36">
    <tableColumn id="1" xr3:uid="{79FC4507-FCD8-4690-BDD7-1157444FD8F8}" name="Start No." dataDxfId="949"/>
    <tableColumn id="8" xr3:uid="{04F95FE7-EAAF-4118-81CE-F29C0FDDC70B}" name="Lane" dataDxfId="948"/>
    <tableColumn id="9" xr3:uid="{661A6412-38AF-4F07-8F3E-4285F036AAE9}" name="Category" dataDxfId="947"/>
    <tableColumn id="32" xr3:uid="{E7F58F7E-07B9-465F-9649-EC6A6DE133CC}" name="Age_x000a_Division" dataDxfId="946"/>
    <tableColumn id="40" xr3:uid="{9E8C9B31-C38B-4E3F-9D35-9A2F8480C717}" name="Level" dataDxfId="945"/>
    <tableColumn id="4" xr3:uid="{94158480-C96C-4EC3-B0FC-4C3220BEAB4D}" name="Athlete" dataDxfId="944"/>
    <tableColumn id="38" xr3:uid="{0AE4F50B-3EB2-4C46-A09C-77DCE95ED1DF}" name="Club" dataDxfId="943"/>
    <tableColumn id="37" xr3:uid="{BC00C4BF-6A70-4A38-BD56-7E08B3302ACF}" name="Country" dataDxfId="942"/>
    <tableColumn id="15" xr3:uid="{D9876906-44A8-46B4-AB3E-DB3A9C411A25}" name="Judge 1_x000a_Tamara Beljak" dataDxfId="941"/>
    <tableColumn id="33" xr3:uid="{B5948DFC-0C48-464D-BCA3-93DB5808A127}" name="J1 (-)" dataDxfId="940"/>
    <tableColumn id="26" xr3:uid="{F2C64148-6489-4D58-9BE1-126D754FB1A4}" name="J1 TOTAL" dataDxfId="939">
      <calculatedColumnFormula>Twirling_Solo_F2B_Junior_Lower_Level[[#This Row],[Judge 1
Tamara Beljak]]-J2</calculatedColumnFormula>
    </tableColumn>
    <tableColumn id="3" xr3:uid="{F15F18C2-ECB6-4E6D-99F1-C01479A88901}" name="J1 (Rank)" dataDxfId="938">
      <calculatedColumnFormula>COUNTIFS(Twirling_Solo_F2B_Junior_Lower_Level[Age
Division],Twirling_Solo_F2B_Junior_Lower_Level[[#This Row],[Age
Division]],Twirling_Solo_F2B_Junior_Lower_Level[Category],Twirling_Solo_F2B_Junior_Lower_Level[[#This Row],[Category]],Twirling_Solo_F2B_Junior_Lower_Level[J1 TOTAL],"&gt;"&amp;Twirling_Solo_F2B_Junior_Lower_Level[[#This Row],[J1 TOTAL]])+1</calculatedColumnFormula>
    </tableColumn>
    <tableColumn id="16" xr3:uid="{D7CCE95D-CF80-49B3-8E61-1FAFA79D2B67}" name="Judge 2_x000a_Tihomir Bendelja" dataDxfId="937"/>
    <tableColumn id="34" xr3:uid="{B0E8FC77-65B1-4E26-A1A2-23ED1090FBC8}" name="J2 (-)" dataDxfId="936"/>
    <tableColumn id="28" xr3:uid="{8A04471C-CBD1-4FB2-A12B-936E1DAE2C1C}" name="J2 TOTAL" dataDxfId="935">
      <calculatedColumnFormula>Twirling_Solo_F2B_Junior_Lower_Level[[#This Row],[Judge 2
Tihomir Bendelja]]-Twirling_Solo_F2B_Junior_Lower_Level[[#This Row],[J2 (-)]]</calculatedColumnFormula>
    </tableColumn>
    <tableColumn id="5" xr3:uid="{56C24476-4630-4C16-BDCA-1349D84A55D6}" name="J2 (Rank)" dataDxfId="934">
      <calculatedColumnFormula>COUNTIFS(Twirling_Solo_F2B_Junior_Lower_Level[Age
Division],Twirling_Solo_F2B_Junior_Lower_Level[[#This Row],[Age
Division]],Twirling_Solo_F2B_Junior_Lower_Level[Category],Twirling_Solo_F2B_Junior_Lower_Level[[#This Row],[Category]],Twirling_Solo_F2B_Junior_Lower_Level[J2 TOTAL],"&gt;"&amp;Twirling_Solo_F2B_Junior_Lower_Level[[#This Row],[J2 TOTAL]])+1</calculatedColumnFormula>
    </tableColumn>
    <tableColumn id="17" xr3:uid="{1B6EE62A-75C7-4FAA-AF71-F82B92C74B9C}" name="Judge 3_x000a_Tea Softić" dataDxfId="933"/>
    <tableColumn id="35" xr3:uid="{BA1A9679-7296-4256-8A0F-6E0EBADBA2CA}" name="J3 (-)" dataDxfId="932"/>
    <tableColumn id="30" xr3:uid="{2591BDF6-47A1-49D2-A62D-DD61333FDEB0}" name="J3 TOTAL" dataDxfId="931">
      <calculatedColumnFormula>Twirling_Solo_F2B_Junior_Lower_Level[[#This Row],[Judge 3
Tea Softić]]-R2</calculatedColumnFormula>
    </tableColumn>
    <tableColumn id="6" xr3:uid="{72166539-967E-45F7-A558-80677F84F643}" name="J3 (Rank)" dataDxfId="930">
      <calculatedColumnFormula>COUNTIFS(Twirling_Solo_F2B_Junior_Lower_Level[Age
Division],Twirling_Solo_F2B_Junior_Lower_Level[[#This Row],[Age
Division]],Twirling_Solo_F2B_Junior_Lower_Level[Category],Twirling_Solo_F2B_Junior_Lower_Level[[#This Row],[Category]],Twirling_Solo_F2B_Junior_Lower_Level[J3 TOTAL],"&gt;"&amp;Twirling_Solo_F2B_Junior_Lower_Level[[#This Row],[J3 TOTAL]])+1</calculatedColumnFormula>
    </tableColumn>
    <tableColumn id="18" xr3:uid="{818125A2-567D-4F80-A959-71AA1FF8D31E}" name="Judge 4_x000a_Bernard Barač" dataDxfId="929"/>
    <tableColumn id="36" xr3:uid="{1F5FA098-BB4A-4DB7-BAC6-06D611BD34AF}" name="J4 (-)" dataDxfId="928"/>
    <tableColumn id="31" xr3:uid="{F42DFD39-A5FB-4A0F-A70C-CD338F6802A4}" name="J4 TOTAL" dataDxfId="927">
      <calculatedColumnFormula>Twirling_Solo_F2B_Junior_Lower_Level[[#This Row],[Judge 4
Bernard Barač]]-V2</calculatedColumnFormula>
    </tableColumn>
    <tableColumn id="7" xr3:uid="{4AF12239-48FB-400D-90FB-952234371D65}" name="J4 (Rank)" dataDxfId="926">
      <calculatedColumnFormula>COUNTIFS(Twirling_Solo_F2B_Junior_Lower_Level[Age
Division],Twirling_Solo_F2B_Junior_Lower_Level[[#This Row],[Age
Division]],Twirling_Solo_F2B_Junior_Lower_Level[Category],Twirling_Solo_F2B_Junior_Lower_Level[[#This Row],[Category]],Twirling_Solo_F2B_Junior_Lower_Level[J4 TOTAL],"&gt;"&amp;Twirling_Solo_F2B_Junior_Lower_Level[[#This Row],[J4 TOTAL]])+1</calculatedColumnFormula>
    </tableColumn>
    <tableColumn id="12" xr3:uid="{0B05918A-2063-40B2-B262-1EAEBDBCF229}" name="Judge 5_x000a_Barbara Novina" dataDxfId="925"/>
    <tableColumn id="11" xr3:uid="{C9A01E0E-C40A-4BA9-8DBC-96000F123F52}" name="J5 (-)" dataDxfId="924"/>
    <tableColumn id="10" xr3:uid="{283F2256-338A-49A9-A8A1-B12518399E6B}" name="J5 TOTAL" dataDxfId="923">
      <calculatedColumnFormula>Twirling_Solo_F2B_Junior_Lower_Level[[#This Row],[Judge 5
Barbara Novina]]-Y2</calculatedColumnFormula>
    </tableColumn>
    <tableColumn id="2" xr3:uid="{0CA6C768-92C5-4464-A79B-1EE611D7CC22}" name="J5 (Rank)" dataDxfId="922">
      <calculatedColumnFormula>COUNTIFS(Twirling_Solo_F2B_Junior_Lower_Level[Age
Division],Twirling_Solo_F2B_Junior_Lower_Level[[#This Row],[Age
Division]],Twirling_Solo_F2B_Junior_Lower_Level[Category],Twirling_Solo_F2B_Junior_Lower_Level[[#This Row],[Category]],Twirling_Solo_F2B_Junior_Lower_Level[J5 TOTAL],"&gt;"&amp;Twirling_Solo_F2B_Junior_Lower_Level[[#This Row],[J5 TOTAL]])+1</calculatedColumnFormula>
    </tableColumn>
    <tableColumn id="20" xr3:uid="{C5B0632A-4D54-4B20-B61A-EB7CAB38D0F3}" name="Total" dataDxfId="921">
      <calculatedColumnFormula>SUM(Twirling_Solo_F2B_Junior_Lower_Level[[#This Row],[J1 TOTAL]]+Twirling_Solo_F2B_Junior_Lower_Level[[#This Row],[J2 TOTAL]]+Twirling_Solo_F2B_Junior_Lower_Level[[#This Row],[J3 TOTAL]]+Twirling_Solo_F2B_Junior_Lower_Level[[#This Row],[J4 TOTAL]])+Twirling_Solo_F2B_Junior_Lower_Level[[#This Row],[J5 TOTAL]]</calculatedColumnFormula>
    </tableColumn>
    <tableColumn id="23" xr3:uid="{E7F135B3-4B97-44EE-AC93-97A3492168CC}" name="Low" dataDxfId="920"/>
    <tableColumn id="19" xr3:uid="{C3B8D693-8862-4857-B66B-C94C38A833B8}" name="High" dataDxfId="919"/>
    <tableColumn id="25" xr3:uid="{997F29C2-889D-4C8A-85A9-30E2BD7B9292}" name="Final Total" dataDxfId="918">
      <calculatedColumnFormula>SUM(Twirling_Solo_F2B_Junior_Lower_Level[[#This Row],[Total]]-Twirling_Solo_F2B_Junior_Lower_Level[[#This Row],[Low]]-Twirling_Solo_F2B_Junior_Lower_Level[[#This Row],[High]])</calculatedColumnFormula>
    </tableColumn>
    <tableColumn id="24" xr3:uid="{D9414300-6FF8-4707-81F6-3B11E72401E9}" name="Avg" dataDxfId="917">
      <calculatedColumnFormula>AVERAGE(I2,M2,Q2,U2,Y2)</calculatedColumnFormula>
    </tableColumn>
    <tableColumn id="22" xr3:uid="{FCC2FCE5-BF1B-48EF-A2C0-6783CDF98820}" name="FINAL SCORE" dataDxfId="916">
      <calculatedColumnFormula>Twirling_Solo_F2B_Junior_Lower_Level[[#This Row],[Final Total]]</calculatedColumnFormula>
    </tableColumn>
    <tableColumn id="27" xr3:uid="{8253C0A8-F7F9-44AF-A83B-9683C8DF2CBA}" name="Rank" dataDxfId="915">
      <calculatedColumnFormula>COUNTIFS(Twirling_Solo_F2B_Junior_Lower_Level[Age
Division],Twirling_Solo_F2B_Junior_Lower_Level[[#This Row],[Age
Division]],Twirling_Solo_F2B_Junior_Lower_Level[Category],Twirling_Solo_F2B_Junior_Lower_Level[[#This Row],[Category]],Twirling_Solo_F2B_Junior_Lower_Level[FINAL SCORE],"&gt;"&amp;Twirling_Solo_F2B_Junior_Lower_Level[[#This Row],[FINAL SCORE]])+1</calculatedColumnFormula>
    </tableColumn>
    <tableColumn id="39" xr3:uid="{E48A72C4-DA38-405B-9C29-33F441F74A66}" name="Category Type" dataDxfId="914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DDAEB053-F264-4084-B3AE-84673A211890}" name="Twirling_Solo_SoloDance_Children" displayName="Twirling_Solo_SoloDance_Children" ref="A1:AJ8" totalsRowShown="0" headerRowDxfId="875" dataDxfId="874">
  <autoFilter ref="A1:AJ8" xr:uid="{042C9DAD-4CB0-4D2A-8C87-3D9863992DF4}"/>
  <sortState xmlns:xlrd2="http://schemas.microsoft.com/office/spreadsheetml/2017/richdata2" ref="A2:AJ8">
    <sortCondition ref="AI1:AI8"/>
  </sortState>
  <tableColumns count="36">
    <tableColumn id="1" xr3:uid="{D65F99F9-C11E-4D36-9115-E5373F7F9E2D}" name="Start No." dataDxfId="911"/>
    <tableColumn id="8" xr3:uid="{A3B1FF8B-74D0-46D6-8019-0C98979DF0AF}" name="Lane" dataDxfId="910"/>
    <tableColumn id="9" xr3:uid="{84A2E2FF-A92A-498B-A098-39869AA9696D}" name="Category" dataDxfId="909"/>
    <tableColumn id="32" xr3:uid="{F85DD2E2-BEF4-4EA3-BEC0-39A0D546A361}" name="Age_x000a_Division" dataDxfId="908"/>
    <tableColumn id="40" xr3:uid="{FE8DBD15-81F0-4C5B-A234-15143F6A42F2}" name="Level" dataDxfId="907"/>
    <tableColumn id="4" xr3:uid="{4A9BB94E-9AAD-45D0-A798-7F4BE52C573F}" name="Athlete" dataDxfId="906"/>
    <tableColumn id="38" xr3:uid="{9FDCD955-2050-4C85-88CC-191EF07CC127}" name="Club" dataDxfId="905"/>
    <tableColumn id="37" xr3:uid="{BB376019-D7D9-466A-B0ED-9214E7E3E24F}" name="Country" dataDxfId="904"/>
    <tableColumn id="15" xr3:uid="{944F994D-C5E0-4C24-8EFD-34F94FC50083}" name="Judge 1_x000a_Tamara Beljak" dataDxfId="903"/>
    <tableColumn id="33" xr3:uid="{20443071-EF5C-42AD-B13B-D1E544F32370}" name="J1 (-)" dataDxfId="902"/>
    <tableColumn id="26" xr3:uid="{2D45E640-1CDE-42DC-862F-87792F5B9094}" name="J1 TOTAL" dataDxfId="901">
      <calculatedColumnFormula>Twirling_Solo_SoloDance_Children[[#This Row],[Judge 1
Tamara Beljak]]-J2</calculatedColumnFormula>
    </tableColumn>
    <tableColumn id="3" xr3:uid="{E9590950-178C-45D6-86DD-F8E7B672ACD7}" name="J1 (Rank)" dataDxfId="900">
      <calculatedColumnFormula>COUNTIFS(Twirling_Solo_SoloDance_Children[Age
Division],Twirling_Solo_SoloDance_Children[[#This Row],[Age
Division]],Twirling_Solo_SoloDance_Children[Category],Twirling_Solo_SoloDance_Children[[#This Row],[Category]],Twirling_Solo_SoloDance_Children[J1 TOTAL],"&gt;"&amp;Twirling_Solo_SoloDance_Children[[#This Row],[J1 TOTAL]])+1</calculatedColumnFormula>
    </tableColumn>
    <tableColumn id="16" xr3:uid="{68053F7A-7976-46AC-A82B-550A62560F55}" name="Judge 2_x000a_Tihomir Bendelja" dataDxfId="899"/>
    <tableColumn id="34" xr3:uid="{9CD958D9-6215-4A73-B5BE-21A946812C51}" name="J2 (-)" dataDxfId="898"/>
    <tableColumn id="28" xr3:uid="{15C93847-DF8F-4BDE-9AB3-2336A8841D64}" name="J2 TOTAL" dataDxfId="897">
      <calculatedColumnFormula>Twirling_Solo_SoloDance_Children[[#This Row],[Judge 2
Tihomir Bendelja]]-Twirling_Solo_SoloDance_Children[[#This Row],[J2 (-)]]</calculatedColumnFormula>
    </tableColumn>
    <tableColumn id="5" xr3:uid="{2B728AF6-7957-4269-A3DE-01CC66952A57}" name="J2 (Rank)" dataDxfId="896">
      <calculatedColumnFormula>COUNTIFS(Twirling_Solo_SoloDance_Children[Age
Division],Twirling_Solo_SoloDance_Children[[#This Row],[Age
Division]],Twirling_Solo_SoloDance_Children[Category],Twirling_Solo_SoloDance_Children[[#This Row],[Category]],Twirling_Solo_SoloDance_Children[J2 TOTAL],"&gt;"&amp;Twirling_Solo_SoloDance_Children[[#This Row],[J2 TOTAL]])+1</calculatedColumnFormula>
    </tableColumn>
    <tableColumn id="17" xr3:uid="{5E14B9EB-250D-4C67-9031-60019BEEE883}" name="Judge 3_x000a_Tea Softić" dataDxfId="895"/>
    <tableColumn id="35" xr3:uid="{C7301C84-999C-4465-9B86-EADC994C7BA6}" name="J3 (-)" dataDxfId="894"/>
    <tableColumn id="30" xr3:uid="{76DC92D3-05A9-447A-A050-E0AC3D5741F9}" name="J3 TOTAL" dataDxfId="893">
      <calculatedColumnFormula>Twirling_Solo_SoloDance_Children[[#This Row],[Judge 3
Tea Softić]]-R2</calculatedColumnFormula>
    </tableColumn>
    <tableColumn id="6" xr3:uid="{33F048EE-0A54-4DA9-8305-D041174662A7}" name="J3 (Rank)" dataDxfId="892">
      <calculatedColumnFormula>COUNTIFS(Twirling_Solo_SoloDance_Children[Age
Division],Twirling_Solo_SoloDance_Children[[#This Row],[Age
Division]],Twirling_Solo_SoloDance_Children[Category],Twirling_Solo_SoloDance_Children[[#This Row],[Category]],Twirling_Solo_SoloDance_Children[J3 TOTAL],"&gt;"&amp;Twirling_Solo_SoloDance_Children[[#This Row],[J3 TOTAL]])+1</calculatedColumnFormula>
    </tableColumn>
    <tableColumn id="18" xr3:uid="{3CFD224E-A045-4697-A884-546E91F85EA5}" name="Judge 4_x000a_Bernard Barač" dataDxfId="891"/>
    <tableColumn id="36" xr3:uid="{88F4D001-6728-488D-B998-FF6700B5FF7E}" name="J4 (-)" dataDxfId="890"/>
    <tableColumn id="31" xr3:uid="{5ECEC9DC-D01B-44BA-B27F-7FA58B08CF12}" name="J4 TOTAL" dataDxfId="889">
      <calculatedColumnFormula>Twirling_Solo_SoloDance_Children[[#This Row],[Judge 4
Bernard Barač]]-V2</calculatedColumnFormula>
    </tableColumn>
    <tableColumn id="7" xr3:uid="{A13B7CC3-3106-4CD5-856A-438D632B3234}" name="J4 (Rank)" dataDxfId="888">
      <calculatedColumnFormula>COUNTIFS(Twirling_Solo_SoloDance_Children[Age
Division],Twirling_Solo_SoloDance_Children[[#This Row],[Age
Division]],Twirling_Solo_SoloDance_Children[Category],Twirling_Solo_SoloDance_Children[[#This Row],[Category]],Twirling_Solo_SoloDance_Children[J4 TOTAL],"&gt;"&amp;Twirling_Solo_SoloDance_Children[[#This Row],[J4 TOTAL]])+1</calculatedColumnFormula>
    </tableColumn>
    <tableColumn id="12" xr3:uid="{A73AAB35-3453-4222-BD35-0F93EF33A83B}" name="Judge 5_x000a_Barbara Novina" dataDxfId="887"/>
    <tableColumn id="11" xr3:uid="{9B604D82-0117-44D9-A324-E2D6F8D7D019}" name="J5 (-)" dataDxfId="886"/>
    <tableColumn id="10" xr3:uid="{7935F1EA-64CA-4632-BE55-5159F709B3FA}" name="J5 TOTAL" dataDxfId="885">
      <calculatedColumnFormula>Twirling_Solo_SoloDance_Children[[#This Row],[Judge 5
Barbara Novina]]-Y2</calculatedColumnFormula>
    </tableColumn>
    <tableColumn id="2" xr3:uid="{0FFC8CC2-0BD0-4C92-A751-F0A936E86685}" name="J5 (Rank)" dataDxfId="884">
      <calculatedColumnFormula>COUNTIFS(Twirling_Solo_SoloDance_Children[Age
Division],Twirling_Solo_SoloDance_Children[[#This Row],[Age
Division]],Twirling_Solo_SoloDance_Children[Category],Twirling_Solo_SoloDance_Children[[#This Row],[Category]],Twirling_Solo_SoloDance_Children[J5 TOTAL],"&gt;"&amp;Twirling_Solo_SoloDance_Children[[#This Row],[J5 TOTAL]])+1</calculatedColumnFormula>
    </tableColumn>
    <tableColumn id="20" xr3:uid="{2BEE4C08-6154-4CB8-A987-DD7091B4F63D}" name="Total" dataDxfId="883">
      <calculatedColumnFormula>SUM(Twirling_Solo_SoloDance_Children[[#This Row],[J1 TOTAL]]+Twirling_Solo_SoloDance_Children[[#This Row],[J2 TOTAL]]+Twirling_Solo_SoloDance_Children[[#This Row],[J3 TOTAL]]+Twirling_Solo_SoloDance_Children[[#This Row],[J4 TOTAL]])+Twirling_Solo_SoloDance_Children[[#This Row],[J5 TOTAL]]</calculatedColumnFormula>
    </tableColumn>
    <tableColumn id="23" xr3:uid="{5E172A43-D695-42E7-AE28-3DFBDECD3833}" name="Low" dataDxfId="882"/>
    <tableColumn id="19" xr3:uid="{EB8F178A-66E0-4696-A507-4B705EB71B06}" name="High" dataDxfId="881"/>
    <tableColumn id="25" xr3:uid="{F62F48CF-FB0B-41B4-B362-8360965E083D}" name="Final Total" dataDxfId="880">
      <calculatedColumnFormula>SUM(Twirling_Solo_SoloDance_Children[[#This Row],[Total]]-Twirling_Solo_SoloDance_Children[[#This Row],[Low]]-Twirling_Solo_SoloDance_Children[[#This Row],[High]])</calculatedColumnFormula>
    </tableColumn>
    <tableColumn id="24" xr3:uid="{F62C3550-310B-4667-8AD6-5F464A4D348F}" name="Avg" dataDxfId="879">
      <calculatedColumnFormula>AVERAGE(I2,M2,Q2,U2,Y2)</calculatedColumnFormula>
    </tableColumn>
    <tableColumn id="22" xr3:uid="{88A260E8-6377-4EA5-AD5B-A12BD08514B1}" name="FINAL SCORE" dataDxfId="878">
      <calculatedColumnFormula>Twirling_Solo_SoloDance_Children[[#This Row],[Final Total]]</calculatedColumnFormula>
    </tableColumn>
    <tableColumn id="27" xr3:uid="{22B6FDAF-E63F-4720-AD17-34BABAEECA8B}" name="Rank" dataDxfId="877">
      <calculatedColumnFormula>COUNTIFS(Twirling_Solo_SoloDance_Children[Age
Division],Twirling_Solo_SoloDance_Children[[#This Row],[Age
Division]],Twirling_Solo_SoloDance_Children[Category],Twirling_Solo_SoloDance_Children[[#This Row],[Category]],Twirling_Solo_SoloDance_Children[FINAL SCORE],"&gt;"&amp;Twirling_Solo_SoloDance_Children[[#This Row],[FINAL SCORE]])+1</calculatedColumnFormula>
    </tableColumn>
    <tableColumn id="39" xr3:uid="{1E851090-F423-4637-9B47-6A2E31D8A509}" name="Category Type" dataDxfId="876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DE565E0D-8899-4F06-A4A9-3E135AEE12FF}" name="Twirling_Solo_SoloDance_Senior_Advanced" displayName="Twirling_Solo_SoloDance_Senior_Advanced" ref="A1:AJ7" totalsRowShown="0" headerRowDxfId="837" dataDxfId="836">
  <autoFilter ref="A1:AJ7" xr:uid="{042C9DAD-4CB0-4D2A-8C87-3D9863992DF4}"/>
  <sortState xmlns:xlrd2="http://schemas.microsoft.com/office/spreadsheetml/2017/richdata2" ref="A2:AJ7">
    <sortCondition ref="AI1:AI7"/>
  </sortState>
  <tableColumns count="36">
    <tableColumn id="1" xr3:uid="{417D9C71-E528-47FB-99DE-3605099E0917}" name="Start No." dataDxfId="873"/>
    <tableColumn id="8" xr3:uid="{B54FEA26-0365-4F9B-8EB2-B3BEC2348A39}" name="Lane" dataDxfId="872"/>
    <tableColumn id="9" xr3:uid="{54FBDB00-F392-4807-97FA-421786A26256}" name="Category" dataDxfId="871"/>
    <tableColumn id="32" xr3:uid="{2929B9D8-2CA1-484B-B124-E2148C790532}" name="Age_x000a_Division" dataDxfId="870"/>
    <tableColumn id="40" xr3:uid="{089767A1-2CC9-4985-9B52-444DC7C61E43}" name="Level" dataDxfId="869"/>
    <tableColumn id="4" xr3:uid="{A6BB9D04-BF98-4CF7-8DEF-1BDA693730BB}" name="Athlete" dataDxfId="868"/>
    <tableColumn id="38" xr3:uid="{3DD42A19-2ABA-42FD-8580-327B56E46265}" name="Club" dataDxfId="867"/>
    <tableColumn id="37" xr3:uid="{9D19722B-E4D2-4C47-8B99-7F078E6C81FA}" name="Country" dataDxfId="866"/>
    <tableColumn id="15" xr3:uid="{EE0B81B7-35ED-4A18-9D24-9538B330D921}" name="Judge 1_x000a_Tamara Beljak" dataDxfId="865"/>
    <tableColumn id="33" xr3:uid="{6177AEC1-DDC7-47D3-930A-17C1833E3BAD}" name="J1 (-)" dataDxfId="864"/>
    <tableColumn id="26" xr3:uid="{BABC49C6-D1D9-40F9-86E6-D14B9A31D444}" name="J1 TOTAL" dataDxfId="863">
      <calculatedColumnFormula>Twirling_Solo_SoloDance_Senior_Advanced[[#This Row],[Judge 1
Tamara Beljak]]-J2</calculatedColumnFormula>
    </tableColumn>
    <tableColumn id="3" xr3:uid="{056124C4-CE76-4309-8558-F811BECE2CDD}" name="J1 (Rank)" dataDxfId="862">
      <calculatedColumnFormula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Row],[Category]],Twirling_Solo_SoloDance_Senior_Advanced[J1 TOTAL],"&gt;"&amp;Twirling_Solo_SoloDance_Senior_Advanced[[#This Row],[J1 TOTAL]])+1</calculatedColumnFormula>
    </tableColumn>
    <tableColumn id="16" xr3:uid="{AC3485A1-DE5E-4384-B592-799219420ACE}" name="Judge 2_x000a_Tihomir Bendelja" dataDxfId="861"/>
    <tableColumn id="34" xr3:uid="{B376DA10-99DE-49FD-A28C-0CB94419E96B}" name="J2 (-)" dataDxfId="860"/>
    <tableColumn id="28" xr3:uid="{4D5BAE1F-03A0-4DD1-8CED-F30187C28F93}" name="J2 TOTAL" dataDxfId="859">
      <calculatedColumnFormula>Twirling_Solo_SoloDance_Senior_Advanced[[#This Row],[Judge 2
Tihomir Bendelja]]-Twirling_Solo_SoloDance_Senior_Advanced[[#This Row],[J2 (-)]]</calculatedColumnFormula>
    </tableColumn>
    <tableColumn id="5" xr3:uid="{EB7DDF0F-2462-4954-A78D-43BAC8A9A5CE}" name="J2 (Rank)" dataDxfId="858">
      <calculatedColumnFormula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Row],[Category]],Twirling_Solo_SoloDance_Senior_Advanced[J2 TOTAL],"&gt;"&amp;Twirling_Solo_SoloDance_Senior_Advanced[[#This Row],[J2 TOTAL]])+1</calculatedColumnFormula>
    </tableColumn>
    <tableColumn id="17" xr3:uid="{06AFCEC7-25FA-4EED-9D26-8A75CD3796C1}" name="Judge 3_x000a_Tea Softić" dataDxfId="857"/>
    <tableColumn id="35" xr3:uid="{05FB5417-43B5-404C-ABE1-3ED33834D35E}" name="J3 (-)" dataDxfId="856"/>
    <tableColumn id="30" xr3:uid="{F44AB73E-655E-4FAC-834F-079FA65E0C3F}" name="J3 TOTAL" dataDxfId="855">
      <calculatedColumnFormula>Twirling_Solo_SoloDance_Senior_Advanced[[#This Row],[Judge 3
Tea Softić]]-R2</calculatedColumnFormula>
    </tableColumn>
    <tableColumn id="6" xr3:uid="{6BA9100F-AB8D-4F98-965D-10801314D985}" name="J3 (Rank)" dataDxfId="854">
      <calculatedColumnFormula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Row],[Category]],Twirling_Solo_SoloDance_Senior_Advanced[J3 TOTAL],"&gt;"&amp;Twirling_Solo_SoloDance_Senior_Advanced[[#This Row],[J3 TOTAL]])+1</calculatedColumnFormula>
    </tableColumn>
    <tableColumn id="18" xr3:uid="{457A3B40-4C93-4D53-88DC-F7427712634D}" name="Judge 4_x000a_Bernard Barač" dataDxfId="853"/>
    <tableColumn id="36" xr3:uid="{D735AFEA-36C3-42D3-AC40-60A352AB383B}" name="J4 (-)" dataDxfId="852"/>
    <tableColumn id="31" xr3:uid="{6A20AA3B-62B7-43B9-A353-684F5DA7FD7C}" name="J4 TOTAL" dataDxfId="851">
      <calculatedColumnFormula>Twirling_Solo_SoloDance_Senior_Advanced[[#This Row],[Judge 4
Bernard Barač]]-V2</calculatedColumnFormula>
    </tableColumn>
    <tableColumn id="7" xr3:uid="{D60B1DB6-58E2-4F3D-861A-34D5EBBCDBCC}" name="J4 (Rank)" dataDxfId="850">
      <calculatedColumnFormula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Row],[Category]],Twirling_Solo_SoloDance_Senior_Advanced[J4 TOTAL],"&gt;"&amp;Twirling_Solo_SoloDance_Senior_Advanced[[#This Row],[J4 TOTAL]])+1</calculatedColumnFormula>
    </tableColumn>
    <tableColumn id="12" xr3:uid="{8F49A16F-B42D-444A-8D7E-85821D00522E}" name="Judge 5_x000a_Barbara Novina" dataDxfId="849"/>
    <tableColumn id="11" xr3:uid="{56E3C3FE-ED42-46BC-921E-212E2F13FDBB}" name="J5 (-)" dataDxfId="848"/>
    <tableColumn id="10" xr3:uid="{B51E1A36-366F-4264-9496-7930B6F7FEEA}" name="J5 TOTAL" dataDxfId="847">
      <calculatedColumnFormula>Twirling_Solo_SoloDance_Senior_Advanced[[#This Row],[Judge 5
Barbara Novina]]-Y2</calculatedColumnFormula>
    </tableColumn>
    <tableColumn id="2" xr3:uid="{E5469A54-70EB-4827-8208-675899C8281B}" name="J5 (Rank)" dataDxfId="846">
      <calculatedColumnFormula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Row],[Category]],Twirling_Solo_SoloDance_Senior_Advanced[J5 TOTAL],"&gt;"&amp;Twirling_Solo_SoloDance_Senior_Advanced[[#This Row],[J5 TOTAL]])+1</calculatedColumnFormula>
    </tableColumn>
    <tableColumn id="20" xr3:uid="{6123B592-1C04-4B9E-B479-ABBD3AE84455}" name="Total" dataDxfId="845">
      <calculatedColumnFormula>SUM(Twirling_Solo_SoloDance_Senior_Advanced[[#This Row],[J1 TOTAL]]+Twirling_Solo_SoloDance_Senior_Advanced[[#This Row],[J2 TOTAL]]+Twirling_Solo_SoloDance_Senior_Advanced[[#This Row],[J3 TOTAL]]+Twirling_Solo_SoloDance_Senior_Advanced[[#This Row],[J4 TOTAL]])+Twirling_Solo_SoloDance_Senior_Advanced[[#This Row],[J5 TOTAL]]</calculatedColumnFormula>
    </tableColumn>
    <tableColumn id="23" xr3:uid="{FED7BEBE-3258-45A4-8D85-499B2660888C}" name="Low" dataDxfId="844"/>
    <tableColumn id="19" xr3:uid="{25B0E19B-4295-4F2F-9780-49437A1A2022}" name="High" dataDxfId="843"/>
    <tableColumn id="25" xr3:uid="{3309BEFE-BFA6-44E0-B6CB-4F62FDD3309D}" name="Final Total" dataDxfId="842">
      <calculatedColumnFormula>SUM(Twirling_Solo_SoloDance_Senior_Advanced[[#This Row],[Total]]-Twirling_Solo_SoloDance_Senior_Advanced[[#This Row],[Low]]-Twirling_Solo_SoloDance_Senior_Advanced[[#This Row],[High]])</calculatedColumnFormula>
    </tableColumn>
    <tableColumn id="24" xr3:uid="{7F33BAEF-806C-4472-A068-246B587F81E5}" name="Avg" dataDxfId="841">
      <calculatedColumnFormula>AVERAGE(I2,M2,Q2,U2,Y2)</calculatedColumnFormula>
    </tableColumn>
    <tableColumn id="22" xr3:uid="{355A7B5A-B62A-4BCC-8204-3A3A431C21CE}" name="FINAL SCORE" dataDxfId="840">
      <calculatedColumnFormula>Twirling_Solo_SoloDance_Senior_Advanced[[#This Row],[Final Total]]</calculatedColumnFormula>
    </tableColumn>
    <tableColumn id="27" xr3:uid="{DD1AD1B8-2B79-434E-93E8-3D7D27044C79}" name="Rank" dataDxfId="839">
      <calculatedColumnFormula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Row],[Category]],Twirling_Solo_SoloDance_Senior_Advanced[FINAL SCORE],"&gt;"&amp;Twirling_Solo_SoloDance_Senior_Advanced[[#This Row],[FINAL SCORE]])+1</calculatedColumnFormula>
    </tableColumn>
    <tableColumn id="39" xr3:uid="{9509D97E-4F80-4B06-A87D-E8D53D1EC9C3}" name="Category Type" dataDxfId="838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4BF44695-2673-4114-9FFB-A4D54AE35864}" name="Twirling_Solo_SoloDance_Senior_Intermediate" displayName="Twirling_Solo_SoloDance_Senior_Intermediate" ref="A1:AJ7" totalsRowShown="0" headerRowDxfId="799" dataDxfId="798">
  <autoFilter ref="A1:AJ7" xr:uid="{042C9DAD-4CB0-4D2A-8C87-3D9863992DF4}"/>
  <sortState xmlns:xlrd2="http://schemas.microsoft.com/office/spreadsheetml/2017/richdata2" ref="A2:AJ7">
    <sortCondition ref="AI1:AI7"/>
  </sortState>
  <tableColumns count="36">
    <tableColumn id="1" xr3:uid="{D535EF5F-BC61-40CA-A211-4D6A4CA4D8D4}" name="Start No." dataDxfId="835"/>
    <tableColumn id="8" xr3:uid="{E22CDC0B-85CC-4D2C-897A-678569DE6C81}" name="Lane" dataDxfId="834"/>
    <tableColumn id="9" xr3:uid="{1976E1FE-C5EA-457F-A955-59333074105F}" name="Category" dataDxfId="833"/>
    <tableColumn id="32" xr3:uid="{6583327E-E6F3-406F-8868-138F9003302D}" name="Age_x000a_Division" dataDxfId="832"/>
    <tableColumn id="40" xr3:uid="{691A36E2-0164-4731-BDA0-4AB3C9E53E69}" name="Level" dataDxfId="831"/>
    <tableColumn id="4" xr3:uid="{2BD9FA34-0655-4118-9807-B55B4A556A26}" name="Athlete" dataDxfId="830"/>
    <tableColumn id="38" xr3:uid="{FEC8D011-FBC3-48EE-8CDC-E478D5F6B4DD}" name="Club" dataDxfId="829"/>
    <tableColumn id="37" xr3:uid="{91670084-FA4D-4073-8862-ADF099CF296D}" name="Country" dataDxfId="828"/>
    <tableColumn id="15" xr3:uid="{7C06E1BC-D1A6-44B0-B734-258D91813444}" name="Judge 1_x000a_Tamara Beljak" dataDxfId="827"/>
    <tableColumn id="33" xr3:uid="{1F9DB985-7A54-4F3F-8493-EEDDC3D9150F}" name="J1 (-)" dataDxfId="826"/>
    <tableColumn id="26" xr3:uid="{9A553C84-4CEA-4A75-B028-A331504D0366}" name="J1 TOTAL" dataDxfId="825">
      <calculatedColumnFormula>Twirling_Solo_SoloDance_Senior_Intermediate[[#This Row],[Judge 1
Tamara Beljak]]-J2</calculatedColumnFormula>
    </tableColumn>
    <tableColumn id="3" xr3:uid="{7948DF08-034A-406D-9007-9F2E288291AF}" name="J1 (Rank)" dataDxfId="824">
      <calculatedColumnFormula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Row],[Category]],Twirling_Solo_SoloDance_Senior_Intermediate[J1 TOTAL],"&gt;"&amp;Twirling_Solo_SoloDance_Senior_Intermediate[[#This Row],[J1 TOTAL]])+1</calculatedColumnFormula>
    </tableColumn>
    <tableColumn id="16" xr3:uid="{D8524C71-BD1F-4628-8607-9A34FEEF4844}" name="Judge 2_x000a_Tihomir Bendelja" dataDxfId="823"/>
    <tableColumn id="34" xr3:uid="{DA6A03A0-E68D-48E5-9D2F-5E4BDE689DD0}" name="J2 (-)" dataDxfId="822"/>
    <tableColumn id="28" xr3:uid="{4247B699-000A-4D37-ABC1-6CA2D0E121CC}" name="J2 TOTAL" dataDxfId="821">
      <calculatedColumnFormula>Twirling_Solo_SoloDance_Senior_Intermediate[[#This Row],[Judge 2
Tihomir Bendelja]]-Twirling_Solo_SoloDance_Senior_Intermediate[[#This Row],[J2 (-)]]</calculatedColumnFormula>
    </tableColumn>
    <tableColumn id="5" xr3:uid="{8A141A88-4C42-462E-A18A-586AFAD4F74F}" name="J2 (Rank)" dataDxfId="820">
      <calculatedColumnFormula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Row],[Category]],Twirling_Solo_SoloDance_Senior_Intermediate[J2 TOTAL],"&gt;"&amp;Twirling_Solo_SoloDance_Senior_Intermediate[[#This Row],[J2 TOTAL]])+1</calculatedColumnFormula>
    </tableColumn>
    <tableColumn id="17" xr3:uid="{621C6815-2555-4112-910F-B475C07773FC}" name="Judge 3_x000a_Tea Softić" dataDxfId="819"/>
    <tableColumn id="35" xr3:uid="{39DF3CBB-CE9A-48AE-A4B6-4E7C2160041B}" name="J3 (-)" dataDxfId="818"/>
    <tableColumn id="30" xr3:uid="{0FF296FD-F891-4747-968E-17FC3CC920E5}" name="J3 TOTAL" dataDxfId="817">
      <calculatedColumnFormula>Twirling_Solo_SoloDance_Senior_Intermediate[[#This Row],[Judge 3
Tea Softić]]-R2</calculatedColumnFormula>
    </tableColumn>
    <tableColumn id="6" xr3:uid="{F244D880-AB68-4DF8-B950-FD6D594A17C5}" name="J3 (Rank)" dataDxfId="816">
      <calculatedColumnFormula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Row],[Category]],Twirling_Solo_SoloDance_Senior_Intermediate[J3 TOTAL],"&gt;"&amp;Twirling_Solo_SoloDance_Senior_Intermediate[[#This Row],[J3 TOTAL]])+1</calculatedColumnFormula>
    </tableColumn>
    <tableColumn id="18" xr3:uid="{901D9325-76BE-4755-9877-EC79293A33A8}" name="Judge 4_x000a_Bernard Barač" dataDxfId="815"/>
    <tableColumn id="36" xr3:uid="{45AA9445-05A8-4E16-84F5-70A612E97010}" name="J4 (-)" dataDxfId="814"/>
    <tableColumn id="31" xr3:uid="{7AB79DB7-DE52-404D-BABC-F4E32C66C891}" name="J4 TOTAL" dataDxfId="813">
      <calculatedColumnFormula>Twirling_Solo_SoloDance_Senior_Intermediate[[#This Row],[Judge 4
Bernard Barač]]-V2</calculatedColumnFormula>
    </tableColumn>
    <tableColumn id="7" xr3:uid="{A8245034-2994-4B2E-9E1C-6804BE19D10A}" name="J4 (Rank)" dataDxfId="812">
      <calculatedColumnFormula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Row],[Category]],Twirling_Solo_SoloDance_Senior_Intermediate[J4 TOTAL],"&gt;"&amp;Twirling_Solo_SoloDance_Senior_Intermediate[[#This Row],[J4 TOTAL]])+1</calculatedColumnFormula>
    </tableColumn>
    <tableColumn id="12" xr3:uid="{5071E719-135D-410E-A74E-453D3B91CB72}" name="Judge 5_x000a_Barbara Novina" dataDxfId="811"/>
    <tableColumn id="11" xr3:uid="{7A389D17-C698-40BA-B218-91CDBE425B01}" name="J5 (-)" dataDxfId="810"/>
    <tableColumn id="10" xr3:uid="{E3BA4308-312C-4AF1-9939-36B7F07A781D}" name="J5 TOTAL" dataDxfId="809">
      <calculatedColumnFormula>Twirling_Solo_SoloDance_Senior_Intermediate[[#This Row],[Judge 5
Barbara Novina]]-Y2</calculatedColumnFormula>
    </tableColumn>
    <tableColumn id="2" xr3:uid="{58CA6192-F309-4E5D-8E91-A547E3ADF01C}" name="J5 (Rank)" dataDxfId="808">
      <calculatedColumnFormula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Row],[Category]],Twirling_Solo_SoloDance_Senior_Intermediate[J5 TOTAL],"&gt;"&amp;Twirling_Solo_SoloDance_Senior_Intermediate[[#This Row],[J5 TOTAL]])+1</calculatedColumnFormula>
    </tableColumn>
    <tableColumn id="20" xr3:uid="{58729793-244C-4ED1-A86A-89C417B47BA7}" name="Total" dataDxfId="807">
      <calculatedColumnFormula>SUM(Twirling_Solo_SoloDance_Senior_Intermediate[[#This Row],[J1 TOTAL]]+Twirling_Solo_SoloDance_Senior_Intermediate[[#This Row],[J2 TOTAL]]+Twirling_Solo_SoloDance_Senior_Intermediate[[#This Row],[J3 TOTAL]]+Twirling_Solo_SoloDance_Senior_Intermediate[[#This Row],[J4 TOTAL]])+Twirling_Solo_SoloDance_Senior_Intermediate[[#This Row],[J5 TOTAL]]</calculatedColumnFormula>
    </tableColumn>
    <tableColumn id="23" xr3:uid="{5083D525-4C7F-4C51-AE07-9109523E43E5}" name="Low" dataDxfId="806"/>
    <tableColumn id="19" xr3:uid="{8BF90F12-063D-4006-9EA5-06779974A295}" name="High" dataDxfId="805"/>
    <tableColumn id="25" xr3:uid="{27B0BEC3-FE48-48FA-B1A6-56C81D344CD5}" name="Final Total" dataDxfId="804">
      <calculatedColumnFormula>SUM(Twirling_Solo_SoloDance_Senior_Intermediate[[#This Row],[Total]]-Twirling_Solo_SoloDance_Senior_Intermediate[[#This Row],[Low]]-Twirling_Solo_SoloDance_Senior_Intermediate[[#This Row],[High]])</calculatedColumnFormula>
    </tableColumn>
    <tableColumn id="24" xr3:uid="{5132C889-E628-4C99-BB34-DDF7755ED3C3}" name="Avg" dataDxfId="803">
      <calculatedColumnFormula>AVERAGE(I2,M2,Q2,U2,Y2)</calculatedColumnFormula>
    </tableColumn>
    <tableColumn id="22" xr3:uid="{7F70C24F-C9BF-4A10-8C5E-09628EFF9C95}" name="FINAL SCORE" dataDxfId="802">
      <calculatedColumnFormula>Twirling_Solo_SoloDance_Senior_Intermediate[[#This Row],[Final Total]]</calculatedColumnFormula>
    </tableColumn>
    <tableColumn id="27" xr3:uid="{2D11437F-4C76-4FF6-A290-628A6B30DF79}" name="Rank" dataDxfId="801">
      <calculatedColumnFormula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Row],[Category]],Twirling_Solo_SoloDance_Senior_Intermediate[FINAL SCORE],"&gt;"&amp;Twirling_Solo_SoloDance_Senior_Intermediate[[#This Row],[FINAL SCORE]])+1</calculatedColumnFormula>
    </tableColumn>
    <tableColumn id="39" xr3:uid="{F088B8A8-1D0B-4C9D-A139-2175765247C3}" name="Category Type" dataDxfId="800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E27875B-6738-49FF-9245-8F4FE584A498}" name="Twirling_Solo_SoloDance_Cadet_Beginner" displayName="Twirling_Solo_SoloDance_Cadet_Beginner" ref="A1:AJ21" totalsRowShown="0" headerRowDxfId="761" dataDxfId="760">
  <autoFilter ref="A1:AJ21" xr:uid="{042C9DAD-4CB0-4D2A-8C87-3D9863992DF4}"/>
  <sortState xmlns:xlrd2="http://schemas.microsoft.com/office/spreadsheetml/2017/richdata2" ref="A2:AJ21">
    <sortCondition ref="AI1:AI21"/>
  </sortState>
  <tableColumns count="36">
    <tableColumn id="1" xr3:uid="{B6235085-8C4F-4394-80AF-DDC575D043F3}" name="Start No." dataDxfId="797"/>
    <tableColumn id="8" xr3:uid="{10969CEA-41E7-46FB-80E3-107A17B266D8}" name="Lane" dataDxfId="796"/>
    <tableColumn id="9" xr3:uid="{605922D4-33F0-44EA-B5A3-ED23A30F1C63}" name="Category" dataDxfId="795"/>
    <tableColumn id="32" xr3:uid="{EFB816A7-EB36-4EDB-8B88-62A39AFCEFC1}" name="Age_x000a_Division" dataDxfId="794"/>
    <tableColumn id="40" xr3:uid="{188248AF-CFCC-4B95-BD11-BC0759E932C8}" name="Level" dataDxfId="793"/>
    <tableColumn id="4" xr3:uid="{63EFB7EE-AAE3-49DC-AE98-B7CA0B08E300}" name="Athlete" dataDxfId="792"/>
    <tableColumn id="38" xr3:uid="{D33B93E0-33A0-4984-9DE7-CC17277EE82C}" name="Club" dataDxfId="791"/>
    <tableColumn id="37" xr3:uid="{BA4F0667-D388-491D-8817-D6D07F66C14D}" name="Country" dataDxfId="790"/>
    <tableColumn id="15" xr3:uid="{1AF57BB4-DBBF-455C-94E2-52A3B7B66614}" name="Judge 1_x000a_Tamara Beljak" dataDxfId="789"/>
    <tableColumn id="33" xr3:uid="{9620F356-B59C-410F-BA2F-145292FAE36C}" name="J1 (-)" dataDxfId="788"/>
    <tableColumn id="26" xr3:uid="{26190D07-834B-421D-A231-CE15A011726F}" name="J1 TOTAL" dataDxfId="787">
      <calculatedColumnFormula>Twirling_Solo_SoloDance_Cadet_Beginner[[#This Row],[Judge 1
Tamara Beljak]]-J2</calculatedColumnFormula>
    </tableColumn>
    <tableColumn id="3" xr3:uid="{1D866825-E76C-4D6B-B1D6-89DFA9568A80}" name="J1 (Rank)" dataDxfId="786">
      <calculatedColumnFormula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calculatedColumnFormula>
    </tableColumn>
    <tableColumn id="16" xr3:uid="{146A6CAA-FDB8-4194-A0F4-BEB277B96F12}" name="Judge 2_x000a_Tihomir Bendelja" dataDxfId="785"/>
    <tableColumn id="34" xr3:uid="{6819204D-8875-4D39-A9DF-ABF1BB75303E}" name="J2 (-)" dataDxfId="784"/>
    <tableColumn id="28" xr3:uid="{103427D1-7805-4CF8-BAED-76A30268A2D2}" name="J2 TOTAL" dataDxfId="783">
      <calculatedColumnFormula>Twirling_Solo_SoloDance_Cadet_Beginner[[#This Row],[Judge 2
Tihomir Bendelja]]-Twirling_Solo_SoloDance_Cadet_Beginner[[#This Row],[J2 (-)]]</calculatedColumnFormula>
    </tableColumn>
    <tableColumn id="5" xr3:uid="{047FC67B-FEF9-4535-9606-6A95E98AACA9}" name="J2 (Rank)" dataDxfId="782">
      <calculatedColumnFormula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calculatedColumnFormula>
    </tableColumn>
    <tableColumn id="17" xr3:uid="{B5505ED0-F503-4F2E-81FB-881264C3E7CD}" name="Judge 3_x000a_Tea Softić" dataDxfId="781"/>
    <tableColumn id="35" xr3:uid="{852B058C-2013-4961-86A6-32B2A90E58ED}" name="J3 (-)" dataDxfId="780"/>
    <tableColumn id="30" xr3:uid="{1515A8C1-0231-44CD-AAB1-E20D6E726BB3}" name="J3 TOTAL" dataDxfId="779">
      <calculatedColumnFormula>Twirling_Solo_SoloDance_Cadet_Beginner[[#This Row],[Judge 3
Tea Softić]]-R2</calculatedColumnFormula>
    </tableColumn>
    <tableColumn id="6" xr3:uid="{2BE696CD-C0E1-407F-83CD-4D72197CAF8E}" name="J3 (Rank)" dataDxfId="778">
      <calculatedColumnFormula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calculatedColumnFormula>
    </tableColumn>
    <tableColumn id="18" xr3:uid="{84D319A0-0224-410D-A568-AB3EEEA85178}" name="Judge 4_x000a_Bernard Barač" dataDxfId="777"/>
    <tableColumn id="36" xr3:uid="{2F5EAA6E-0B71-46AC-A69F-F5C195E5DFB6}" name="J4 (-)" dataDxfId="776"/>
    <tableColumn id="31" xr3:uid="{7F0830F7-8C28-4D0C-B336-F8524E53045B}" name="J4 TOTAL" dataDxfId="775">
      <calculatedColumnFormula>Twirling_Solo_SoloDance_Cadet_Beginner[[#This Row],[Judge 4
Bernard Barač]]-V2</calculatedColumnFormula>
    </tableColumn>
    <tableColumn id="7" xr3:uid="{0ABDD563-EE67-47F7-953C-0F569F328A66}" name="J4 (Rank)" dataDxfId="774">
      <calculatedColumnFormula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calculatedColumnFormula>
    </tableColumn>
    <tableColumn id="12" xr3:uid="{66DA3D46-0FEC-40EB-BA5E-C6D9E72CA5C6}" name="Judge 5_x000a_Barbara Novina" dataDxfId="773"/>
    <tableColumn id="11" xr3:uid="{71BC98DA-1F2A-446E-A7BE-31F42BE51D83}" name="J5 (-)" dataDxfId="772"/>
    <tableColumn id="10" xr3:uid="{5F5C18C6-C149-4175-B0E8-8F8B5700F0D9}" name="J5 TOTAL" dataDxfId="771">
      <calculatedColumnFormula>Twirling_Solo_SoloDance_Cadet_Beginner[[#This Row],[Judge 5
Barbara Novina]]-Z2</calculatedColumnFormula>
    </tableColumn>
    <tableColumn id="2" xr3:uid="{55100972-DF8B-4F9D-BCF8-6EB00AFE48E1}" name="J5 (Rank)" dataDxfId="770">
      <calculatedColumnFormula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calculatedColumnFormula>
    </tableColumn>
    <tableColumn id="20" xr3:uid="{1CF72916-7E5C-402E-908A-04DB56798839}" name="Total" dataDxfId="769">
      <calculatedColumnFormula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calculatedColumnFormula>
    </tableColumn>
    <tableColumn id="23" xr3:uid="{CD814944-E09B-4A2B-BF8B-5F16CCFF9730}" name="Low" dataDxfId="768"/>
    <tableColumn id="19" xr3:uid="{BB9CA604-E37C-4C84-9817-FF6A54688CC3}" name="High" dataDxfId="767"/>
    <tableColumn id="25" xr3:uid="{E2FA0854-D11F-4B99-811C-DE1946C79E97}" name="Final Total" dataDxfId="766">
      <calculatedColumnFormula>SUM(Twirling_Solo_SoloDance_Cadet_Beginner[[#This Row],[Total]]-Twirling_Solo_SoloDance_Cadet_Beginner[[#This Row],[Low]]-Twirling_Solo_SoloDance_Cadet_Beginner[[#This Row],[High]])</calculatedColumnFormula>
    </tableColumn>
    <tableColumn id="24" xr3:uid="{8DDF0424-E134-4959-AB78-6E7E0C8EDD67}" name="Avg" dataDxfId="765">
      <calculatedColumnFormula>AVERAGE(I2,M2,Q2,U2,Y2)</calculatedColumnFormula>
    </tableColumn>
    <tableColumn id="22" xr3:uid="{D843A531-7596-4F09-A35F-26F8D6EAFF77}" name="FINAL SCORE" dataDxfId="764">
      <calculatedColumnFormula>Twirling_Solo_SoloDance_Cadet_Beginner[[#This Row],[Final Total]]</calculatedColumnFormula>
    </tableColumn>
    <tableColumn id="27" xr3:uid="{EF70C5B1-3615-447C-95FF-64C096584CD9}" name="Rank" dataDxfId="763">
      <calculatedColumnFormula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calculatedColumnFormula>
    </tableColumn>
    <tableColumn id="39" xr3:uid="{CF4DE7AC-E3FF-4C1F-9713-ADF2B04A1A65}" name="Category Type" dataDxfId="76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E8F845D-19D4-47D3-95E0-7B7C747769DA}" name="Twirling_Solo_SoloDance_Cadet_Intermediate" displayName="Twirling_Solo_SoloDance_Cadet_Intermediate" ref="A1:AJ9" totalsRowShown="0" headerRowDxfId="723" dataDxfId="722">
  <autoFilter ref="A1:AJ9" xr:uid="{042C9DAD-4CB0-4D2A-8C87-3D9863992DF4}"/>
  <sortState xmlns:xlrd2="http://schemas.microsoft.com/office/spreadsheetml/2017/richdata2" ref="A2:AJ9">
    <sortCondition ref="AI1:AI9"/>
  </sortState>
  <tableColumns count="36">
    <tableColumn id="1" xr3:uid="{04C60B3D-5476-4C3F-9431-C502D0BC46D7}" name="Start No." dataDxfId="759"/>
    <tableColumn id="8" xr3:uid="{867B4015-EEC8-45EF-B0B1-06694F51FE79}" name="Lane" dataDxfId="758"/>
    <tableColumn id="9" xr3:uid="{34540A1C-0ECF-4A55-9DB8-201C0349042C}" name="Category" dataDxfId="757"/>
    <tableColumn id="32" xr3:uid="{BA02D800-EB40-4036-89AC-C6520CEBFE4F}" name="Age_x000a_Division" dataDxfId="756"/>
    <tableColumn id="40" xr3:uid="{2C1C0A3B-3E97-4177-80BE-A2E48973BA67}" name="Level" dataDxfId="755"/>
    <tableColumn id="4" xr3:uid="{0DFA1FCF-E7EF-445E-8AA3-14E4DFD6CF50}" name="Athlete" dataDxfId="754"/>
    <tableColumn id="38" xr3:uid="{ECBDCA00-417C-4D42-8215-6788522865C5}" name="Club" dataDxfId="753"/>
    <tableColumn id="37" xr3:uid="{71E648A3-C2FD-4542-859E-91097EE04737}" name="Country" dataDxfId="752"/>
    <tableColumn id="15" xr3:uid="{47B07EF5-74A7-4518-88D7-BB1668E07161}" name="Judge 1_x000a_Tamara Beljak" dataDxfId="751"/>
    <tableColumn id="33" xr3:uid="{99AF0DDC-C403-4727-9C0B-A16646E4A6EC}" name="J1 (-)" dataDxfId="750"/>
    <tableColumn id="26" xr3:uid="{4FFBD55F-5DF6-4998-B170-74C0267782C1}" name="J1 TOTAL" dataDxfId="749">
      <calculatedColumnFormula>Twirling_Solo_SoloDance_Cadet_Intermediate[[#This Row],[Judge 1
Tamara Beljak]]-J2</calculatedColumnFormula>
    </tableColumn>
    <tableColumn id="3" xr3:uid="{7E035E0D-3390-433A-8793-B950AB222940}" name="J1 (Rank)" dataDxfId="748">
      <calculatedColumnFormula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Row],[Category]],Twirling_Solo_SoloDance_Cadet_Intermediate[J1 TOTAL],"&gt;"&amp;Twirling_Solo_SoloDance_Cadet_Intermediate[[#This Row],[J1 TOTAL]])+1</calculatedColumnFormula>
    </tableColumn>
    <tableColumn id="16" xr3:uid="{631B9EF3-A63B-4034-81BE-DC7FBB599878}" name="Judge 2_x000a_Tihomir Bendelja" dataDxfId="747"/>
    <tableColumn id="34" xr3:uid="{25D190BF-B673-4CE8-81D5-7E2078450DE7}" name="J2 (-)" dataDxfId="746"/>
    <tableColumn id="28" xr3:uid="{3CEE655B-7373-491E-9022-6F189998E844}" name="J2 TOTAL" dataDxfId="745">
      <calculatedColumnFormula>Twirling_Solo_SoloDance_Cadet_Intermediate[[#This Row],[Judge 2
Tihomir Bendelja]]-Twirling_Solo_SoloDance_Cadet_Intermediate[[#This Row],[J2 (-)]]</calculatedColumnFormula>
    </tableColumn>
    <tableColumn id="5" xr3:uid="{AC2871D1-E333-439A-BBFC-AAB7FCB17C92}" name="J2 (Rank)" dataDxfId="744">
      <calculatedColumnFormula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Row],[Category]],Twirling_Solo_SoloDance_Cadet_Intermediate[J2 TOTAL],"&gt;"&amp;Twirling_Solo_SoloDance_Cadet_Intermediate[[#This Row],[J2 TOTAL]])+1</calculatedColumnFormula>
    </tableColumn>
    <tableColumn id="17" xr3:uid="{AD95CF87-9D86-44A4-B2DD-A2C8B98EA3F2}" name="Judge 3_x000a_Tea Softić" dataDxfId="743"/>
    <tableColumn id="35" xr3:uid="{FD330C99-80A2-4A88-9CF1-EB0DE511782B}" name="J3 (-)" dataDxfId="742"/>
    <tableColumn id="30" xr3:uid="{CB70547E-F774-475A-A5A0-FEEB74EC3789}" name="J3 TOTAL" dataDxfId="741">
      <calculatedColumnFormula>Twirling_Solo_SoloDance_Cadet_Intermediate[[#This Row],[Judge 3
Tea Softić]]-R2</calculatedColumnFormula>
    </tableColumn>
    <tableColumn id="6" xr3:uid="{5831AE98-6C36-4730-8213-EB953A5916E7}" name="J3 (Rank)" dataDxfId="740">
      <calculatedColumnFormula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Row],[Category]],Twirling_Solo_SoloDance_Cadet_Intermediate[J3 TOTAL],"&gt;"&amp;Twirling_Solo_SoloDance_Cadet_Intermediate[[#This Row],[J3 TOTAL]])+1</calculatedColumnFormula>
    </tableColumn>
    <tableColumn id="18" xr3:uid="{2688127E-FB5E-4D20-9914-BDD4FE473AEB}" name="Judge 4_x000a_Bernard Barač" dataDxfId="739"/>
    <tableColumn id="36" xr3:uid="{71CBC823-31DB-4ACE-BD23-8EC6B3C81808}" name="J4 (-)" dataDxfId="738"/>
    <tableColumn id="31" xr3:uid="{4ABDCA63-C282-4265-85C3-5117FF46A3EE}" name="J4 TOTAL" dataDxfId="737">
      <calculatedColumnFormula>Twirling_Solo_SoloDance_Cadet_Intermediate[[#This Row],[Judge 4
Bernard Barač]]-V2</calculatedColumnFormula>
    </tableColumn>
    <tableColumn id="7" xr3:uid="{BE495C2D-D97F-4C29-9C39-8AC4CFFC66E5}" name="J4 (Rank)" dataDxfId="736">
      <calculatedColumnFormula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Row],[Category]],Twirling_Solo_SoloDance_Cadet_Intermediate[J4 TOTAL],"&gt;"&amp;Twirling_Solo_SoloDance_Cadet_Intermediate[[#This Row],[J4 TOTAL]])+1</calculatedColumnFormula>
    </tableColumn>
    <tableColumn id="12" xr3:uid="{5231ED04-F0F7-41C6-AA4B-E08F798BD046}" name="Judge 5_x000a_Barbara Novina" dataDxfId="735"/>
    <tableColumn id="11" xr3:uid="{AC7385EE-A6A0-4A02-A101-DA49123B651B}" name="J5 (-)" dataDxfId="734"/>
    <tableColumn id="10" xr3:uid="{EFD5D390-2B77-4AB4-ADDD-2B337BD20C23}" name="J5 TOTAL" dataDxfId="733">
      <calculatedColumnFormula>Twirling_Solo_SoloDance_Cadet_Intermediate[[#This Row],[Judge 5
Barbara Novina]]-Z2</calculatedColumnFormula>
    </tableColumn>
    <tableColumn id="2" xr3:uid="{27D90284-C8B9-498B-AEB6-6F8838E879B2}" name="J5 (Rank)" dataDxfId="732">
      <calculatedColumnFormula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Row],[Category]],Twirling_Solo_SoloDance_Cadet_Intermediate[J5 TOTAL],"&gt;"&amp;Twirling_Solo_SoloDance_Cadet_Intermediate[[#This Row],[J5 TOTAL]])+1</calculatedColumnFormula>
    </tableColumn>
    <tableColumn id="20" xr3:uid="{0FDF55B7-9375-4211-B915-99ED5419D704}" name="Total" dataDxfId="731">
      <calculatedColumnFormula>SUM(Twirling_Solo_SoloDance_Cadet_Intermediate[[#This Row],[J1 TOTAL]]+Twirling_Solo_SoloDance_Cadet_Intermediate[[#This Row],[J2 TOTAL]]+Twirling_Solo_SoloDance_Cadet_Intermediate[[#This Row],[J3 TOTAL]]+Twirling_Solo_SoloDance_Cadet_Intermediate[[#This Row],[J4 TOTAL]])+Twirling_Solo_SoloDance_Cadet_Intermediate[[#This Row],[J5 TOTAL]]</calculatedColumnFormula>
    </tableColumn>
    <tableColumn id="23" xr3:uid="{ADB85C76-AE73-4DC8-BB89-F80E04E1C439}" name="Low" dataDxfId="730"/>
    <tableColumn id="19" xr3:uid="{1116CAF5-DA56-4BB8-8C75-915CBA37796F}" name="High" dataDxfId="729"/>
    <tableColumn id="25" xr3:uid="{A451856C-8709-46E7-8743-7F820460E940}" name="Final Total" dataDxfId="728">
      <calculatedColumnFormula>SUM(Twirling_Solo_SoloDance_Cadet_Intermediate[[#This Row],[Total]]-Twirling_Solo_SoloDance_Cadet_Intermediate[[#This Row],[Low]]-Twirling_Solo_SoloDance_Cadet_Intermediate[[#This Row],[High]])</calculatedColumnFormula>
    </tableColumn>
    <tableColumn id="24" xr3:uid="{0D20B735-A7A6-4882-B39F-291377D96E22}" name="Avg" dataDxfId="727">
      <calculatedColumnFormula>AVERAGE(I2,M2,Q2,U2,Y2)</calculatedColumnFormula>
    </tableColumn>
    <tableColumn id="22" xr3:uid="{329D81DB-9D1C-4759-9281-86612F58B16D}" name="FINAL SCORE" dataDxfId="726">
      <calculatedColumnFormula>Twirling_Solo_SoloDance_Cadet_Intermediate[[#This Row],[Final Total]]</calculatedColumnFormula>
    </tableColumn>
    <tableColumn id="27" xr3:uid="{4CBAED90-47CB-48EB-8EAA-BF1A291E4E49}" name="Rank" dataDxfId="725">
      <calculatedColumnFormula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Row],[Category]],Twirling_Solo_SoloDance_Cadet_Intermediate[FINAL SCORE],"&gt;"&amp;Twirling_Solo_SoloDance_Cadet_Intermediate[[#This Row],[FINAL SCORE]])+1</calculatedColumnFormula>
    </tableColumn>
    <tableColumn id="39" xr3:uid="{86229910-6646-431A-B831-2387C36B11FD}" name="Category Type" dataDxfId="724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C236897-372A-4C34-9F9A-B4A3D5380F2D}" name="Twirling_Solo_SoloDance_Junior_Professional" displayName="Twirling_Solo_SoloDance_Junior_Professional" ref="A1:AJ2" totalsRowShown="0" headerRowDxfId="685" dataDxfId="684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837E6B60-B219-484A-9ACE-A4DDF697641D}" name="Start No." dataDxfId="721"/>
    <tableColumn id="8" xr3:uid="{CC9C00ED-08E0-4250-98C5-15AF3FF84995}" name="Lane" dataDxfId="720"/>
    <tableColumn id="9" xr3:uid="{3FABCA2B-0B41-422B-A9F3-99E0FB6D49AB}" name="Category" dataDxfId="719"/>
    <tableColumn id="32" xr3:uid="{622D3269-6EF2-4D61-AB6A-176C925A4FC7}" name="Age_x000a_Division" dataDxfId="718"/>
    <tableColumn id="40" xr3:uid="{AE05BDDD-3E6C-4D71-AA90-62335FA168B5}" name="Level" dataDxfId="717"/>
    <tableColumn id="4" xr3:uid="{462AEF09-29A7-4FBB-A755-22C5672B9C7F}" name="Athlete" dataDxfId="716"/>
    <tableColumn id="38" xr3:uid="{057E7CD8-7CEE-4EA5-96FC-A1DEFD811B11}" name="Club" dataDxfId="715"/>
    <tableColumn id="37" xr3:uid="{B7C86A3E-A398-476C-AADB-FFCF9C38D127}" name="Country" dataDxfId="714"/>
    <tableColumn id="15" xr3:uid="{402A4363-4A68-481E-8361-C830AD30B822}" name="Judge 1_x000a_Tamara Beljak" dataDxfId="713"/>
    <tableColumn id="33" xr3:uid="{71D3E4D6-F5F0-419A-ACF2-BEBA5732390F}" name="J1 (-)" dataDxfId="712"/>
    <tableColumn id="26" xr3:uid="{1666E0B8-677D-40BE-BFB8-A0FC75FB35AB}" name="J1 TOTAL" dataDxfId="711">
      <calculatedColumnFormula>Twirling_Solo_SoloDance_Junior_Professional[[#This Row],[Judge 1
Tamara Beljak]]-J2</calculatedColumnFormula>
    </tableColumn>
    <tableColumn id="3" xr3:uid="{2E756850-295B-4AA2-9F28-16347D80E181}" name="J1 (Rank)" dataDxfId="710">
      <calculatedColumnFormula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Row],[Category]],Twirling_Solo_SoloDance_Junior_Professional[J1 TOTAL],"&gt;"&amp;Twirling_Solo_SoloDance_Junior_Professional[[#This Row],[J1 TOTAL]])+1</calculatedColumnFormula>
    </tableColumn>
    <tableColumn id="16" xr3:uid="{D560FB49-7B5E-4D2A-A3B8-3C65A3D6D676}" name="Judge 2_x000a_Tihomir Bendelja" dataDxfId="709"/>
    <tableColumn id="34" xr3:uid="{E8FC85AC-DFE0-4350-A4E5-8D83AC11568D}" name="J2 (-)" dataDxfId="708"/>
    <tableColumn id="28" xr3:uid="{F3508254-48E3-4ECD-ABC1-A3C3531CDF83}" name="J2 TOTAL" dataDxfId="707">
      <calculatedColumnFormula>Twirling_Solo_SoloDance_Junior_Professional[[#This Row],[Judge 2
Tihomir Bendelja]]-Twirling_Solo_SoloDance_Junior_Professional[[#This Row],[J2 (-)]]</calculatedColumnFormula>
    </tableColumn>
    <tableColumn id="5" xr3:uid="{6D350AD4-C412-438B-9821-24F957D43713}" name="J2 (Rank)" dataDxfId="706">
      <calculatedColumnFormula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Row],[Category]],Twirling_Solo_SoloDance_Junior_Professional[J2 TOTAL],"&gt;"&amp;Twirling_Solo_SoloDance_Junior_Professional[[#This Row],[J2 TOTAL]])+1</calculatedColumnFormula>
    </tableColumn>
    <tableColumn id="17" xr3:uid="{8B70C5E9-C692-4105-B7C8-D8C09F9C3A8C}" name="Judge 3_x000a_Tea Softić" dataDxfId="705"/>
    <tableColumn id="35" xr3:uid="{D58AE710-3433-4DE1-8374-D76573A81739}" name="J3 (-)" dataDxfId="704"/>
    <tableColumn id="30" xr3:uid="{A7857112-EFB1-4194-BC4F-DFF1913C1DA6}" name="J3 TOTAL" dataDxfId="703">
      <calculatedColumnFormula>Twirling_Solo_SoloDance_Junior_Professional[[#This Row],[Judge 3
Tea Softić]]-R2</calculatedColumnFormula>
    </tableColumn>
    <tableColumn id="6" xr3:uid="{44BBD473-25B1-4D7F-9AD2-183419933339}" name="J3 (Rank)" dataDxfId="702">
      <calculatedColumnFormula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Row],[Category]],Twirling_Solo_SoloDance_Junior_Professional[J3 TOTAL],"&gt;"&amp;Twirling_Solo_SoloDance_Junior_Professional[[#This Row],[J3 TOTAL]])+1</calculatedColumnFormula>
    </tableColumn>
    <tableColumn id="18" xr3:uid="{6DDA8DA2-1DF3-4478-87EC-0F8E873DAF49}" name="Judge 4_x000a_Bernard Barač" dataDxfId="701"/>
    <tableColumn id="36" xr3:uid="{133A3124-D8AD-45EF-BD48-B15F5DBD490B}" name="J4 (-)" dataDxfId="700"/>
    <tableColumn id="31" xr3:uid="{C12AF379-4CD4-480E-A728-D6EBADA3C1B9}" name="J4 TOTAL" dataDxfId="699">
      <calculatedColumnFormula>Twirling_Solo_SoloDance_Junior_Professional[[#This Row],[Judge 4
Bernard Barač]]-V2</calculatedColumnFormula>
    </tableColumn>
    <tableColumn id="7" xr3:uid="{3CF68402-4E18-4004-AD1F-355EE1A57F39}" name="J4 (Rank)" dataDxfId="698">
      <calculatedColumnFormula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Row],[Category]],Twirling_Solo_SoloDance_Junior_Professional[J4 TOTAL],"&gt;"&amp;Twirling_Solo_SoloDance_Junior_Professional[[#This Row],[J4 TOTAL]])+1</calculatedColumnFormula>
    </tableColumn>
    <tableColumn id="12" xr3:uid="{5D5E1037-46D1-4EE1-961D-02DED482BBFC}" name="Judge 5_x000a_Barbara Novina" dataDxfId="697"/>
    <tableColumn id="11" xr3:uid="{CFB26663-C49A-457D-8F3B-7049A20FAECB}" name="J5 (-)" dataDxfId="696"/>
    <tableColumn id="10" xr3:uid="{7558E624-4934-4838-85C7-FAA4355F16EB}" name="J5 TOTAL" dataDxfId="695">
      <calculatedColumnFormula>Twirling_Solo_SoloDance_Junior_Professional[[#This Row],[Judge 5
Barbara Novina]]-Z2</calculatedColumnFormula>
    </tableColumn>
    <tableColumn id="2" xr3:uid="{F8B15B06-0CC1-4388-A6C9-C710E504CB76}" name="J5 (Rank)" dataDxfId="694">
      <calculatedColumnFormula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Row],[Category]],Twirling_Solo_SoloDance_Junior_Professional[J5 TOTAL],"&gt;"&amp;Twirling_Solo_SoloDance_Junior_Professional[[#This Row],[J5 TOTAL]])+1</calculatedColumnFormula>
    </tableColumn>
    <tableColumn id="20" xr3:uid="{C39A6BF3-FB09-425B-A1C3-4329BC9EFF7B}" name="Total" dataDxfId="693">
      <calculatedColumnFormula>SUM(Twirling_Solo_SoloDance_Junior_Professional[[#This Row],[J1 TOTAL]]+Twirling_Solo_SoloDance_Junior_Professional[[#This Row],[J2 TOTAL]]+Twirling_Solo_SoloDance_Junior_Professional[[#This Row],[J3 TOTAL]]+Twirling_Solo_SoloDance_Junior_Professional[[#This Row],[J4 TOTAL]])+Twirling_Solo_SoloDance_Junior_Professional[[#This Row],[J5 TOTAL]]</calculatedColumnFormula>
    </tableColumn>
    <tableColumn id="23" xr3:uid="{885A6646-1742-49FA-85B5-E62868612A6A}" name="Low" dataDxfId="692"/>
    <tableColumn id="19" xr3:uid="{8733A2B7-8FE9-42B5-AE34-14025B3853D2}" name="High" dataDxfId="691"/>
    <tableColumn id="25" xr3:uid="{F7F47D4C-B3DC-4463-AD1E-DC62FD1200FD}" name="Final Total" dataDxfId="690">
      <calculatedColumnFormula>SUM(Twirling_Solo_SoloDance_Junior_Professional[[#This Row],[Total]]-Twirling_Solo_SoloDance_Junior_Professional[[#This Row],[Low]]-Twirling_Solo_SoloDance_Junior_Professional[[#This Row],[High]])</calculatedColumnFormula>
    </tableColumn>
    <tableColumn id="24" xr3:uid="{5580FB05-E314-4E3A-8538-5702B50315A7}" name="Avg" dataDxfId="689">
      <calculatedColumnFormula>AVERAGE(I2,M2,Q2,U2,Y2)</calculatedColumnFormula>
    </tableColumn>
    <tableColumn id="22" xr3:uid="{B5F9E994-F10C-4BA8-99D8-7DF14EE17530}" name="FINAL SCORE" dataDxfId="688">
      <calculatedColumnFormula>Twirling_Solo_SoloDance_Junior_Professional[[#This Row],[Final Total]]</calculatedColumnFormula>
    </tableColumn>
    <tableColumn id="27" xr3:uid="{FAF2A28F-C461-4B6C-800C-1E8941F25158}" name="Rank" dataDxfId="687">
      <calculatedColumnFormula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Row],[Category]],Twirling_Solo_SoloDance_Junior_Professional[FINAL SCORE],"&gt;"&amp;Twirling_Solo_SoloDance_Junior_Professional[[#This Row],[FINAL SCORE]])+1</calculatedColumnFormula>
    </tableColumn>
    <tableColumn id="39" xr3:uid="{B1279A4A-4432-4CEA-9A75-65A0D4466BE7}" name="Category Type" dataDxfId="686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ED73D11-EE8C-41E4-B19F-CE145F463252}" name="Twirling_Solo_SoloDance_Senior_Beginner" displayName="Twirling_Solo_SoloDance_Senior_Beginner" ref="A1:AJ3" totalsRowShown="0" headerRowDxfId="647" dataDxfId="646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FEB95EBA-AF1B-4BF1-ACC9-57942330D6BE}" name="Start No." dataDxfId="683"/>
    <tableColumn id="8" xr3:uid="{A52ACB95-45CA-48AB-9146-E0697BB57528}" name="Lane" dataDxfId="682"/>
    <tableColumn id="9" xr3:uid="{4B72ADE9-55B6-40B9-A007-E0258BF160C9}" name="Category" dataDxfId="681"/>
    <tableColumn id="32" xr3:uid="{78E57307-F22B-4CD8-B36C-99F0C7CE48AD}" name="Age_x000a_Division" dataDxfId="680"/>
    <tableColumn id="40" xr3:uid="{B4A0F93B-9DC7-469C-9EB8-97E51744E1F6}" name="Level" dataDxfId="679"/>
    <tableColumn id="4" xr3:uid="{D0224863-C2A4-40D1-8D82-CB6CB06AE148}" name="Athlete" dataDxfId="678"/>
    <tableColumn id="38" xr3:uid="{0EFB7A0A-D710-465E-A410-E56A6CB9D4BE}" name="Club" dataDxfId="677"/>
    <tableColumn id="37" xr3:uid="{FB3B99EA-8008-4702-A32D-B47B6EE6E897}" name="Country" dataDxfId="676"/>
    <tableColumn id="15" xr3:uid="{466AF7E5-1094-46E8-BF2D-DDA4F3A3EC80}" name="Judge 1_x000a_Tamara Beljak" dataDxfId="675"/>
    <tableColumn id="33" xr3:uid="{A762B556-0A3D-47FF-AB90-5C847E9548CA}" name="J1 (-)" dataDxfId="674"/>
    <tableColumn id="26" xr3:uid="{053D266B-FEA6-4135-884B-6A12997F894D}" name="J1 TOTAL" dataDxfId="673">
      <calculatedColumnFormula>Twirling_Solo_SoloDance_Senior_Beginner[[#This Row],[Judge 1
Tamara Beljak]]-J2</calculatedColumnFormula>
    </tableColumn>
    <tableColumn id="3" xr3:uid="{E1137B6C-D97E-48B4-B8D9-4947E430FD15}" name="J1 (Rank)" dataDxfId="672">
      <calculatedColumnFormula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Row],[Category]],Twirling_Solo_SoloDance_Senior_Beginner[J1 TOTAL],"&gt;"&amp;Twirling_Solo_SoloDance_Senior_Beginner[[#This Row],[J1 TOTAL]])+1</calculatedColumnFormula>
    </tableColumn>
    <tableColumn id="16" xr3:uid="{34E84E5B-5C83-4118-A7A9-1F32C53CC219}" name="Judge 2_x000a_Tihomir Bendelja" dataDxfId="671"/>
    <tableColumn id="34" xr3:uid="{DA61F194-00CB-40C3-A3B6-894F913108C2}" name="J2 (-)" dataDxfId="670"/>
    <tableColumn id="28" xr3:uid="{5B999EE7-3B38-4AA9-AE6A-CD2A3FC34227}" name="J2 TOTAL" dataDxfId="669">
      <calculatedColumnFormula>Twirling_Solo_SoloDance_Senior_Beginner[[#This Row],[Judge 2
Tihomir Bendelja]]-Twirling_Solo_SoloDance_Senior_Beginner[[#This Row],[J2 (-)]]</calculatedColumnFormula>
    </tableColumn>
    <tableColumn id="5" xr3:uid="{68CFCFC4-334A-4B18-8CAD-0AB0B4A39AFB}" name="J2 (Rank)" dataDxfId="668">
      <calculatedColumnFormula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Row],[Category]],Twirling_Solo_SoloDance_Senior_Beginner[J2 TOTAL],"&gt;"&amp;Twirling_Solo_SoloDance_Senior_Beginner[[#This Row],[J2 TOTAL]])+1</calculatedColumnFormula>
    </tableColumn>
    <tableColumn id="17" xr3:uid="{79183779-C8C3-4B97-AF4B-7BFA22B20F08}" name="Judge 3_x000a_Tea Softić" dataDxfId="667"/>
    <tableColumn id="35" xr3:uid="{CD7D5DC3-1CA1-4DD3-96BB-9D272A4BABC2}" name="J3 (-)" dataDxfId="666"/>
    <tableColumn id="30" xr3:uid="{42A7B93A-53BC-4EF0-8BC3-4C5FB61798B3}" name="J3 TOTAL" dataDxfId="665">
      <calculatedColumnFormula>Twirling_Solo_SoloDance_Senior_Beginner[[#This Row],[Judge 3
Tea Softić]]-R2</calculatedColumnFormula>
    </tableColumn>
    <tableColumn id="6" xr3:uid="{7EA67487-7D00-4D8E-9244-02D1FE0E9257}" name="J3 (Rank)" dataDxfId="664">
      <calculatedColumnFormula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Row],[Category]],Twirling_Solo_SoloDance_Senior_Beginner[J3 TOTAL],"&gt;"&amp;Twirling_Solo_SoloDance_Senior_Beginner[[#This Row],[J3 TOTAL]])+1</calculatedColumnFormula>
    </tableColumn>
    <tableColumn id="18" xr3:uid="{516300E7-D7CF-48AC-AB8F-C189883AD689}" name="Judge 4_x000a_Bernard Barač" dataDxfId="663"/>
    <tableColumn id="36" xr3:uid="{96948C28-AF22-4968-98DF-AA56A79F3FB1}" name="J4 (-)" dataDxfId="662"/>
    <tableColumn id="31" xr3:uid="{BE9442BF-BBAA-4255-A51A-343477679D71}" name="J4 TOTAL" dataDxfId="661">
      <calculatedColumnFormula>Twirling_Solo_SoloDance_Senior_Beginner[[#This Row],[Judge 4
Bernard Barač]]-V2</calculatedColumnFormula>
    </tableColumn>
    <tableColumn id="7" xr3:uid="{86422BDA-703F-492B-A720-29E605F0A386}" name="J4 (Rank)" dataDxfId="660">
      <calculatedColumnFormula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Row],[Category]],Twirling_Solo_SoloDance_Senior_Beginner[J4 TOTAL],"&gt;"&amp;Twirling_Solo_SoloDance_Senior_Beginner[[#This Row],[J4 TOTAL]])+1</calculatedColumnFormula>
    </tableColumn>
    <tableColumn id="12" xr3:uid="{8C90238B-B86E-4259-AB64-FC5EB0038836}" name="Judge 5_x000a_Barbara Novina" dataDxfId="659"/>
    <tableColumn id="11" xr3:uid="{4ED13231-4F3F-4849-AB16-9A00EC2CBA1D}" name="J5 (-)" dataDxfId="658"/>
    <tableColumn id="10" xr3:uid="{61045115-6B30-4A3B-A25C-72208E3D227F}" name="J5 TOTAL" dataDxfId="657">
      <calculatedColumnFormula>Twirling_Solo_SoloDance_Senior_Beginner[[#This Row],[Judge 5
Barbara Novina]]-Y2</calculatedColumnFormula>
    </tableColumn>
    <tableColumn id="2" xr3:uid="{808C9E1E-0B82-43C2-89C8-7A5D3E774E9C}" name="J5 (Rank)" dataDxfId="656">
      <calculatedColumnFormula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Row],[Category]],Twirling_Solo_SoloDance_Senior_Beginner[J5 TOTAL],"&gt;"&amp;Twirling_Solo_SoloDance_Senior_Beginner[[#This Row],[J5 TOTAL]])+1</calculatedColumnFormula>
    </tableColumn>
    <tableColumn id="20" xr3:uid="{D6F3D67A-ED60-46AB-975B-C43D0DFC3207}" name="Total" dataDxfId="655">
      <calculatedColumnFormula>SUM(Twirling_Solo_SoloDance_Senior_Beginner[[#This Row],[J1 TOTAL]]+Twirling_Solo_SoloDance_Senior_Beginner[[#This Row],[J2 TOTAL]]+Twirling_Solo_SoloDance_Senior_Beginner[[#This Row],[J3 TOTAL]]+Twirling_Solo_SoloDance_Senior_Beginner[[#This Row],[J4 TOTAL]])+Twirling_Solo_SoloDance_Senior_Beginner[[#This Row],[J5 TOTAL]]</calculatedColumnFormula>
    </tableColumn>
    <tableColumn id="23" xr3:uid="{05F4FDC9-9861-4FBE-852B-FB43DE7DA715}" name="Low" dataDxfId="654"/>
    <tableColumn id="19" xr3:uid="{D4165B29-5038-4888-B7A2-D7BD258BFC76}" name="High" dataDxfId="653"/>
    <tableColumn id="25" xr3:uid="{22257700-949F-46AD-B118-FE31079E2447}" name="Final Total" dataDxfId="652">
      <calculatedColumnFormula>SUM(Twirling_Solo_SoloDance_Senior_Beginner[[#This Row],[Total]]-Twirling_Solo_SoloDance_Senior_Beginner[[#This Row],[Low]]-Twirling_Solo_SoloDance_Senior_Beginner[[#This Row],[High]])</calculatedColumnFormula>
    </tableColumn>
    <tableColumn id="24" xr3:uid="{91D4BF89-5414-4C2D-969E-739C968720F6}" name="Avg" dataDxfId="651">
      <calculatedColumnFormula>AVERAGE(I2,M2,Q2,U2,Y2)</calculatedColumnFormula>
    </tableColumn>
    <tableColumn id="22" xr3:uid="{6D10D844-FB0B-41FF-96DA-2DCF5D542F5B}" name="FINAL SCORE" dataDxfId="650">
      <calculatedColumnFormula>Twirling_Solo_SoloDance_Senior_Beginner[[#This Row],[Final Total]]</calculatedColumnFormula>
    </tableColumn>
    <tableColumn id="27" xr3:uid="{F81F25A4-F755-4D0C-B644-7E6315170B6C}" name="Rank" dataDxfId="649">
      <calculatedColumnFormula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Row],[Category]],Twirling_Solo_SoloDance_Senior_Beginner[FINAL SCORE],"&gt;"&amp;Twirling_Solo_SoloDance_Senior_Beginner[[#This Row],[FINAL SCORE]])+1</calculatedColumnFormula>
    </tableColumn>
    <tableColumn id="39" xr3:uid="{96C03CE4-7A02-446F-95AF-66888DEBB678}" name="Category Type" dataDxfId="64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E454C6-241B-447A-AB10-0984014FEFCD}" name="Twirling_Solo_F1B_Cadet_Beginner" displayName="Twirling_Solo_F1B_Cadet_Beginner" ref="A1:AJ6" totalsRowShown="0" headerRowDxfId="1293" dataDxfId="1292">
  <autoFilter ref="A1:AJ6" xr:uid="{042C9DAD-4CB0-4D2A-8C87-3D9863992DF4}"/>
  <sortState xmlns:xlrd2="http://schemas.microsoft.com/office/spreadsheetml/2017/richdata2" ref="A2:AJ6">
    <sortCondition ref="AI1:AI6"/>
  </sortState>
  <tableColumns count="36">
    <tableColumn id="1" xr3:uid="{4D5C8612-61AC-4709-82CD-4A2E1A92C6E7}" name="Start No." dataDxfId="1329"/>
    <tableColumn id="8" xr3:uid="{7DAC6115-C95B-4930-A8C0-728C3D6686ED}" name="Lane" dataDxfId="1328"/>
    <tableColumn id="9" xr3:uid="{ADF49074-EB91-46D8-A673-9916D2DDD474}" name="Category" dataDxfId="1327"/>
    <tableColumn id="32" xr3:uid="{5AEBD697-3849-4D1E-BB35-4A51B8AFBE79}" name="Age_x000a_Division" dataDxfId="1326"/>
    <tableColumn id="40" xr3:uid="{E7EE7CBE-568D-4B33-A67D-6C570C7733C5}" name="Level" dataDxfId="1325"/>
    <tableColumn id="4" xr3:uid="{CECA0444-F82B-4C5D-B1E0-18216AC04C7B}" name="Athlete" dataDxfId="1324"/>
    <tableColumn id="38" xr3:uid="{C43D92BB-1BFC-40D8-B637-A890900FC0F6}" name="Club" dataDxfId="1323"/>
    <tableColumn id="37" xr3:uid="{B4F6F9E7-2096-45D1-9118-A3F9C7C185B7}" name="Country" dataDxfId="1322"/>
    <tableColumn id="15" xr3:uid="{2CFCBC08-12E4-45F9-AF1B-BD4B7D58FD2F}" name="Judge 1_x000a_Tamara Beljak" dataDxfId="1321"/>
    <tableColumn id="33" xr3:uid="{C2782180-B2EF-44E0-BCF3-8B8659520E1A}" name="J1 (-)" dataDxfId="1320"/>
    <tableColumn id="26" xr3:uid="{BC1F7A4B-4509-4D26-B468-D7FA89A6C298}" name="J1 TOTAL" dataDxfId="1319">
      <calculatedColumnFormula>Twirling_Solo_F1B_Cadet_Beginner[[#This Row],[Judge 1
Tamara Beljak]]-J2</calculatedColumnFormula>
    </tableColumn>
    <tableColumn id="3" xr3:uid="{ED75DEE9-684A-46D8-9030-111F3BE5837C}" name="J1 (Rank)" dataDxfId="1318">
      <calculatedColumnFormula>COUNTIFS(Twirling_Solo_F1B_Cadet_Beginner[Age
Division],Twirling_Solo_F1B_Cadet_Beginner[[#This Row],[Age
Division]],Twirling_Solo_F1B_Cadet_Beginner[Category],Twirling_Solo_F1B_Cadet_Beginner[[#This Row],[Category]],Twirling_Solo_F1B_Cadet_Beginner[J1 TOTAL],"&gt;"&amp;Twirling_Solo_F1B_Cadet_Beginner[[#This Row],[J1 TOTAL]])+1</calculatedColumnFormula>
    </tableColumn>
    <tableColumn id="16" xr3:uid="{386C36A9-E48D-46E9-9DC7-DF86B103A4E5}" name="Judge 2_x000a_Tihomir Bendelja" dataDxfId="1317"/>
    <tableColumn id="34" xr3:uid="{5DA9EC76-256B-4932-87BD-78FBF5B0D31F}" name="J2 (-)" dataDxfId="1316"/>
    <tableColumn id="28" xr3:uid="{A32FE9AB-E5AC-4451-B10F-BB009F820B82}" name="J2 TOTAL" dataDxfId="1315">
      <calculatedColumnFormula>Twirling_Solo_F1B_Cadet_Beginner[[#This Row],[Judge 2
Tihomir Bendelja]]-Twirling_Solo_F1B_Cadet_Beginner[[#This Row],[J2 (-)]]</calculatedColumnFormula>
    </tableColumn>
    <tableColumn id="5" xr3:uid="{57EF5DAE-3FC7-4308-A8EB-DC5AFEC57337}" name="J2 (Rank)" dataDxfId="1314">
      <calculatedColumnFormula>COUNTIFS(Twirling_Solo_F1B_Cadet_Beginner[Age
Division],Twirling_Solo_F1B_Cadet_Beginner[[#This Row],[Age
Division]],Twirling_Solo_F1B_Cadet_Beginner[Category],Twirling_Solo_F1B_Cadet_Beginner[[#This Row],[Category]],Twirling_Solo_F1B_Cadet_Beginner[J2 TOTAL],"&gt;"&amp;Twirling_Solo_F1B_Cadet_Beginner[[#This Row],[J2 TOTAL]])+1</calculatedColumnFormula>
    </tableColumn>
    <tableColumn id="17" xr3:uid="{36E9E5BC-1EE5-45D3-8B5F-EABF6EEFFB9D}" name="Judge 3_x000a_Tea Softić" dataDxfId="1313"/>
    <tableColumn id="35" xr3:uid="{9413D962-4ECB-454B-9CB0-85BC55006298}" name="J3 (-)" dataDxfId="1312"/>
    <tableColumn id="30" xr3:uid="{FDE5B1DC-AB70-4625-B18C-F651DD3F6F3A}" name="J3 TOTAL" dataDxfId="1311">
      <calculatedColumnFormula>Twirling_Solo_F1B_Cadet_Beginner[[#This Row],[Judge 3
Tea Softić]]-R2</calculatedColumnFormula>
    </tableColumn>
    <tableColumn id="6" xr3:uid="{10614C81-F873-4108-B4D4-0C39709A9308}" name="J3 (Rank)" dataDxfId="1310">
      <calculatedColumnFormula>COUNTIFS(Twirling_Solo_F1B_Cadet_Beginner[Age
Division],Twirling_Solo_F1B_Cadet_Beginner[[#This Row],[Age
Division]],Twirling_Solo_F1B_Cadet_Beginner[Category],Twirling_Solo_F1B_Cadet_Beginner[[#This Row],[Category]],Twirling_Solo_F1B_Cadet_Beginner[J3 TOTAL],"&gt;"&amp;Twirling_Solo_F1B_Cadet_Beginner[[#This Row],[J3 TOTAL]])+1</calculatedColumnFormula>
    </tableColumn>
    <tableColumn id="18" xr3:uid="{03875E93-399D-4261-9F1E-5979E1E5DB1E}" name="Judge 4_x000a_Bernard Barač" dataDxfId="1309"/>
    <tableColumn id="36" xr3:uid="{F0D6FBF8-7B84-449D-BD56-CA93343B205D}" name="J4 (-)" dataDxfId="1308"/>
    <tableColumn id="31" xr3:uid="{AE3A509F-D2F5-4EC1-9464-A05DC57271D2}" name="J4 TOTAL" dataDxfId="1307">
      <calculatedColumnFormula>Twirling_Solo_F1B_Cadet_Beginner[[#This Row],[Judge 4
Bernard Barač]]-V2</calculatedColumnFormula>
    </tableColumn>
    <tableColumn id="7" xr3:uid="{27549872-78ED-4BE7-83D0-BF488DAF1675}" name="J4 (Rank)" dataDxfId="1306">
      <calculatedColumnFormula>COUNTIFS(Twirling_Solo_F1B_Cadet_Beginner[Age
Division],Twirling_Solo_F1B_Cadet_Beginner[[#This Row],[Age
Division]],Twirling_Solo_F1B_Cadet_Beginner[Category],Twirling_Solo_F1B_Cadet_Beginner[[#This Row],[Category]],Twirling_Solo_F1B_Cadet_Beginner[J4 TOTAL],"&gt;"&amp;Twirling_Solo_F1B_Cadet_Beginner[[#This Row],[J4 TOTAL]])+1</calculatedColumnFormula>
    </tableColumn>
    <tableColumn id="12" xr3:uid="{DAED5819-F5A2-4138-ADEB-C9C2D9E28EA6}" name="Judge 5_x000a_Barbara Novina" dataDxfId="1305"/>
    <tableColumn id="11" xr3:uid="{5FBF8D58-D0D1-4125-8AE4-B48ECF40F8F4}" name="J5 (-)" dataDxfId="1304"/>
    <tableColumn id="10" xr3:uid="{F10524C4-6B3F-4AF6-8BB9-A066D67B272C}" name="J5 TOTAL" dataDxfId="1303">
      <calculatedColumnFormula>Twirling_Solo_F1B_Cadet_Beginner[[#This Row],[Judge 5
Barbara Novina]]-Y2</calculatedColumnFormula>
    </tableColumn>
    <tableColumn id="2" xr3:uid="{7E7639E1-75E0-4A1F-A077-A5B2B32F36CC}" name="J5 (Rank)" dataDxfId="1302">
      <calculatedColumnFormula>COUNTIFS(Twirling_Solo_F1B_Cadet_Beginner[Age
Division],Twirling_Solo_F1B_Cadet_Beginner[[#This Row],[Age
Division]],Twirling_Solo_F1B_Cadet_Beginner[Category],Twirling_Solo_F1B_Cadet_Beginner[[#This Row],[Category]],Twirling_Solo_F1B_Cadet_Beginner[J5 TOTAL],"&gt;"&amp;Twirling_Solo_F1B_Cadet_Beginner[[#This Row],[J5 TOTAL]])+1</calculatedColumnFormula>
    </tableColumn>
    <tableColumn id="20" xr3:uid="{C215A840-B0ED-43FC-836E-2D22597A09C9}" name="Total" dataDxfId="1301">
      <calculatedColumnFormula>SUM(Twirling_Solo_F1B_Cadet_Beginner[[#This Row],[J1 TOTAL]]+Twirling_Solo_F1B_Cadet_Beginner[[#This Row],[J2 TOTAL]]+Twirling_Solo_F1B_Cadet_Beginner[[#This Row],[J3 TOTAL]]+Twirling_Solo_F1B_Cadet_Beginner[[#This Row],[J4 TOTAL]])+Twirling_Solo_F1B_Cadet_Beginner[[#This Row],[J5 TOTAL]]</calculatedColumnFormula>
    </tableColumn>
    <tableColumn id="23" xr3:uid="{AA1B1CC0-80BF-4245-BEA2-D596C0C7AE87}" name="Low" dataDxfId="1300"/>
    <tableColumn id="19" xr3:uid="{DD4CBDF1-696F-43A7-A14B-2BFB4201D6C6}" name="High" dataDxfId="1299"/>
    <tableColumn id="25" xr3:uid="{EC477BF5-B3EF-4115-8F0C-16201BAA7030}" name="Final Total" dataDxfId="1298">
      <calculatedColumnFormula>SUM(Twirling_Solo_F1B_Cadet_Beginner[[#This Row],[Total]]-Twirling_Solo_F1B_Cadet_Beginner[[#This Row],[Low]]-Twirling_Solo_F1B_Cadet_Beginner[[#This Row],[High]])</calculatedColumnFormula>
    </tableColumn>
    <tableColumn id="24" xr3:uid="{9F3E0990-7A71-478B-8658-BAF6E61217D6}" name="Avg" dataDxfId="1297">
      <calculatedColumnFormula>AVERAGE(I2,M2,Q2,U2,Y2)</calculatedColumnFormula>
    </tableColumn>
    <tableColumn id="22" xr3:uid="{8C0DB953-B751-4F29-B20A-E0642DD1B320}" name="FINAL SCORE" dataDxfId="1296">
      <calculatedColumnFormula>Twirling_Solo_F1B_Cadet_Beginner[[#This Row],[Final Total]]</calculatedColumnFormula>
    </tableColumn>
    <tableColumn id="27" xr3:uid="{A45F3A61-11D0-48EB-B72B-0EB33CE20CAB}" name="Rank" dataDxfId="1295">
      <calculatedColumnFormula>COUNTIFS(Twirling_Solo_F1B_Cadet_Beginner[Age
Division],Twirling_Solo_F1B_Cadet_Beginner[[#This Row],[Age
Division]],Twirling_Solo_F1B_Cadet_Beginner[Category],Twirling_Solo_F1B_Cadet_Beginner[[#This Row],[Category]],Twirling_Solo_F1B_Cadet_Beginner[FINAL SCORE],"&gt;"&amp;Twirling_Solo_F1B_Cadet_Beginner[[#This Row],[FINAL SCORE]])+1</calculatedColumnFormula>
    </tableColumn>
    <tableColumn id="39" xr3:uid="{5C48301C-F0A5-4B54-B411-E614AFCAF4A0}" name="Category Type" dataDxfId="1294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C3583E4-8142-4DC4-946C-DD8514D69722}" name="Twirling_Solo_SoloDance_Senior_Professional" displayName="Twirling_Solo_SoloDance_Senior_Professional" ref="A1:AJ3" totalsRowShown="0" headerRowDxfId="609" dataDxfId="608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5DC8F8D2-3424-4636-AC9F-C59DFB342A73}" name="Start No." dataDxfId="645"/>
    <tableColumn id="8" xr3:uid="{FCCF25B3-1F85-4701-97E8-3F4435B24707}" name="Lane" dataDxfId="644"/>
    <tableColumn id="9" xr3:uid="{79000428-6369-4672-81AF-0D9D6225BEFB}" name="Category" dataDxfId="643"/>
    <tableColumn id="32" xr3:uid="{B2D81CD1-697D-4294-A4B6-D01088B93D2F}" name="Age_x000a_Division" dataDxfId="642"/>
    <tableColumn id="40" xr3:uid="{C44550A3-3481-4AA5-9565-49F02D809BB9}" name="Level" dataDxfId="641"/>
    <tableColumn id="4" xr3:uid="{6D37544F-FAA0-4950-96F3-C11EC97F1A13}" name="Athlete" dataDxfId="640"/>
    <tableColumn id="38" xr3:uid="{E71DE74D-386A-4631-938B-786CABBC9C36}" name="Club" dataDxfId="639"/>
    <tableColumn id="37" xr3:uid="{2DCB6D6E-82FB-48FA-88BB-71DEA8E7DABA}" name="Country" dataDxfId="638"/>
    <tableColumn id="15" xr3:uid="{579D2F84-9370-42AC-BC0E-A78D56789BCF}" name="Judge 1_x000a_Tamara Beljak" dataDxfId="637"/>
    <tableColumn id="33" xr3:uid="{36593CB6-5957-43F2-88F1-5571DC996579}" name="J1 (-)" dataDxfId="636"/>
    <tableColumn id="26" xr3:uid="{8438D4CA-5008-4748-8E2B-2B5F642DAEA4}" name="J1 TOTAL" dataDxfId="635">
      <calculatedColumnFormula>Twirling_Solo_SoloDance_Senior_Professional[[#This Row],[Judge 1
Tamara Beljak]]-J2</calculatedColumnFormula>
    </tableColumn>
    <tableColumn id="3" xr3:uid="{C44B4D23-A2BA-44F8-8A2A-BCA4D144E6F7}" name="J1 (Rank)" dataDxfId="634">
      <calculatedColumnFormula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Row],[Category]],Twirling_Solo_SoloDance_Senior_Professional[J1 TOTAL],"&gt;"&amp;Twirling_Solo_SoloDance_Senior_Professional[[#This Row],[J1 TOTAL]])+1</calculatedColumnFormula>
    </tableColumn>
    <tableColumn id="16" xr3:uid="{ADA7C091-19B5-4DFD-88E4-5FDBECCC10A8}" name="Judge 2_x000a_Tihomir Bendelja" dataDxfId="633"/>
    <tableColumn id="34" xr3:uid="{6C268C9E-74DD-4A50-94E0-29E5A6E0450B}" name="J2 (-)" dataDxfId="632"/>
    <tableColumn id="28" xr3:uid="{0D9C8BEA-B4F3-453D-A27A-76C0E24AAEEB}" name="J2 TOTAL" dataDxfId="631">
      <calculatedColumnFormula>Twirling_Solo_SoloDance_Senior_Professional[[#This Row],[Judge 2
Tihomir Bendelja]]-Twirling_Solo_SoloDance_Senior_Professional[[#This Row],[J2 (-)]]</calculatedColumnFormula>
    </tableColumn>
    <tableColumn id="5" xr3:uid="{4830BD76-F7FB-4850-8DF7-37FB0FD14759}" name="J2 (Rank)" dataDxfId="630">
      <calculatedColumnFormula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Row],[Category]],Twirling_Solo_SoloDance_Senior_Professional[J2 TOTAL],"&gt;"&amp;Twirling_Solo_SoloDance_Senior_Professional[[#This Row],[J2 TOTAL]])+1</calculatedColumnFormula>
    </tableColumn>
    <tableColumn id="17" xr3:uid="{9054FCEC-DA9E-4F3A-8E20-4C4FD9600CBE}" name="Judge 3_x000a_Tea Softić" dataDxfId="629"/>
    <tableColumn id="35" xr3:uid="{1D1E1E08-2129-4174-8536-E1F9C0721573}" name="J3 (-)" dataDxfId="628"/>
    <tableColumn id="30" xr3:uid="{34EF4724-CF56-42BA-9A57-ACBEDF6B88A5}" name="J3 TOTAL" dataDxfId="627">
      <calculatedColumnFormula>Twirling_Solo_SoloDance_Senior_Professional[[#This Row],[Judge 3
Tea Softić]]-R2</calculatedColumnFormula>
    </tableColumn>
    <tableColumn id="6" xr3:uid="{B386D8C2-218B-4BDA-A5EC-591AB1C24C98}" name="J3 (Rank)" dataDxfId="626">
      <calculatedColumnFormula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Row],[Category]],Twirling_Solo_SoloDance_Senior_Professional[J3 TOTAL],"&gt;"&amp;Twirling_Solo_SoloDance_Senior_Professional[[#This Row],[J3 TOTAL]])+1</calculatedColumnFormula>
    </tableColumn>
    <tableColumn id="18" xr3:uid="{8931D12C-F63E-42FD-86B7-E8211DD5F104}" name="Judge 4_x000a_Bernard Barač" dataDxfId="625"/>
    <tableColumn id="36" xr3:uid="{1397ABFB-0695-4193-8DFF-366AFC314784}" name="J4 (-)" dataDxfId="624"/>
    <tableColumn id="31" xr3:uid="{5330EC22-98AD-468D-9344-D2410192EC56}" name="J4 TOTAL" dataDxfId="623">
      <calculatedColumnFormula>Twirling_Solo_SoloDance_Senior_Professional[[#This Row],[Judge 4
Bernard Barač]]-V2</calculatedColumnFormula>
    </tableColumn>
    <tableColumn id="7" xr3:uid="{1BB8639D-34D1-4D0C-AE01-DA689465EDF5}" name="J4 (Rank)" dataDxfId="622">
      <calculatedColumnFormula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Row],[Category]],Twirling_Solo_SoloDance_Senior_Professional[J4 TOTAL],"&gt;"&amp;Twirling_Solo_SoloDance_Senior_Professional[[#This Row],[J4 TOTAL]])+1</calculatedColumnFormula>
    </tableColumn>
    <tableColumn id="12" xr3:uid="{64F14731-FE04-4464-A2EB-141CEBA40653}" name="Judge 5_x000a_Barbara Novina" dataDxfId="621"/>
    <tableColumn id="11" xr3:uid="{2A8D0AAD-FB0C-494C-AA89-055BEF8D921F}" name="J5 (-)" dataDxfId="620"/>
    <tableColumn id="10" xr3:uid="{32A3739A-D37D-4411-9B06-AC29442891E2}" name="J5 TOTAL" dataDxfId="619">
      <calculatedColumnFormula>Twirling_Solo_SoloDance_Senior_Professional[[#This Row],[Judge 5
Barbara Novina]]-Y2</calculatedColumnFormula>
    </tableColumn>
    <tableColumn id="2" xr3:uid="{EEBB5244-3017-468E-9CF3-74A0E3271BCC}" name="J5 (Rank)" dataDxfId="618">
      <calculatedColumnFormula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Row],[Category]],Twirling_Solo_SoloDance_Senior_Professional[J5 TOTAL],"&gt;"&amp;Twirling_Solo_SoloDance_Senior_Professional[[#This Row],[J5 TOTAL]])+1</calculatedColumnFormula>
    </tableColumn>
    <tableColumn id="20" xr3:uid="{D0BF56D1-E3C8-4687-86DA-1E7700AD66E1}" name="Total" dataDxfId="617">
      <calculatedColumnFormula>SUM(Twirling_Solo_SoloDance_Senior_Professional[[#This Row],[J1 TOTAL]]+Twirling_Solo_SoloDance_Senior_Professional[[#This Row],[J2 TOTAL]]+Twirling_Solo_SoloDance_Senior_Professional[[#This Row],[J3 TOTAL]]+Twirling_Solo_SoloDance_Senior_Professional[[#This Row],[J4 TOTAL]])+Twirling_Solo_SoloDance_Senior_Professional[[#This Row],[J5 TOTAL]]</calculatedColumnFormula>
    </tableColumn>
    <tableColumn id="23" xr3:uid="{5A25AD7F-02D0-43BE-AD61-AD067976F9EE}" name="Low" dataDxfId="616"/>
    <tableColumn id="19" xr3:uid="{E4EEE90B-1928-4E91-99DF-B765085F1363}" name="High" dataDxfId="615"/>
    <tableColumn id="25" xr3:uid="{EB9C9DB6-64D8-421D-ACB9-36B8787F7F1A}" name="Final Total" dataDxfId="614">
      <calculatedColumnFormula>SUM(Twirling_Solo_SoloDance_Senior_Professional[[#This Row],[Total]]-Twirling_Solo_SoloDance_Senior_Professional[[#This Row],[Low]]-Twirling_Solo_SoloDance_Senior_Professional[[#This Row],[High]])</calculatedColumnFormula>
    </tableColumn>
    <tableColumn id="24" xr3:uid="{78DE4308-8259-4D1C-8801-B668B8D5E1C7}" name="Avg" dataDxfId="613">
      <calculatedColumnFormula>AVERAGE(I2,M2,Q2,U2,Y2)</calculatedColumnFormula>
    </tableColumn>
    <tableColumn id="22" xr3:uid="{35792DFF-F8C7-453C-A32E-7C822ADF7260}" name="FINAL SCORE" dataDxfId="612">
      <calculatedColumnFormula>Twirling_Solo_SoloDance_Senior_Professional[[#This Row],[Final Total]]</calculatedColumnFormula>
    </tableColumn>
    <tableColumn id="27" xr3:uid="{F68B53ED-2527-49B3-989B-A88E9DD46BCD}" name="Rank" dataDxfId="611">
      <calculatedColumnFormula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Row],[Category]],Twirling_Solo_SoloDance_Senior_Professional[FINAL SCORE],"&gt;"&amp;Twirling_Solo_SoloDance_Senior_Professional[[#This Row],[FINAL SCORE]])+1</calculatedColumnFormula>
    </tableColumn>
    <tableColumn id="39" xr3:uid="{7B05DAFD-E5E3-4398-983B-162A15C3B4F6}" name="Category Type" dataDxfId="610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0124249-BB4A-41D5-97C8-7D9C5A0AD80E}" name="Twirling_Solo_SoloDance_Junior_Beginner" displayName="Twirling_Solo_SoloDance_Junior_Beginner" ref="A1:AJ8" totalsRowShown="0" headerRowDxfId="571" dataDxfId="570">
  <autoFilter ref="A1:AJ8" xr:uid="{042C9DAD-4CB0-4D2A-8C87-3D9863992DF4}"/>
  <sortState xmlns:xlrd2="http://schemas.microsoft.com/office/spreadsheetml/2017/richdata2" ref="A2:AJ8">
    <sortCondition ref="AI1:AI8"/>
  </sortState>
  <tableColumns count="36">
    <tableColumn id="1" xr3:uid="{2F90457D-03C2-480B-9C50-2719B17FB726}" name="Start No." dataDxfId="607"/>
    <tableColumn id="8" xr3:uid="{6B9391FD-957B-4E44-8636-15FE881FCA9E}" name="Lane" dataDxfId="606"/>
    <tableColumn id="9" xr3:uid="{E4F5D203-A58E-489D-A5A3-4035373163F0}" name="Category" dataDxfId="605"/>
    <tableColumn id="32" xr3:uid="{6E8B3105-8C3F-4AD6-9E80-07DB13810C76}" name="Age_x000a_Division" dataDxfId="604"/>
    <tableColumn id="40" xr3:uid="{1F81A9D3-D7EE-4030-8ACE-3D5BE127B936}" name="Level" dataDxfId="603"/>
    <tableColumn id="4" xr3:uid="{7732A4AF-38BD-4FBF-9C25-F13C85B90EB2}" name="Athlete" dataDxfId="602"/>
    <tableColumn id="38" xr3:uid="{AC7CFE22-D9ED-4771-928D-5ECB22D0A4BB}" name="Club" dataDxfId="601"/>
    <tableColumn id="37" xr3:uid="{AA9BE2BD-3466-44CF-955D-8D6D9FD61D98}" name="Country" dataDxfId="600"/>
    <tableColumn id="15" xr3:uid="{A37C95CA-EF1F-4028-9C4A-E7C90A0D1874}" name="Judge 1_x000a_Tamara Beljak" dataDxfId="599"/>
    <tableColumn id="33" xr3:uid="{0C28068C-B32D-4F44-901A-034B38BFE244}" name="J1 (-)" dataDxfId="598"/>
    <tableColumn id="26" xr3:uid="{B7945403-E2F9-4783-8BFC-20BB1E7B238E}" name="J1 TOTAL" dataDxfId="597">
      <calculatedColumnFormula>Twirling_Solo_SoloDance_Junior_Beginner[[#This Row],[Judge 1
Tamara Beljak]]-J2</calculatedColumnFormula>
    </tableColumn>
    <tableColumn id="3" xr3:uid="{D21F9333-DB12-421C-8B61-DDDF8E35FF3C}" name="J1 (Rank)" dataDxfId="596">
      <calculatedColumnFormula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Row],[Category]],Twirling_Solo_SoloDance_Junior_Beginner[J1 TOTAL],"&gt;"&amp;Twirling_Solo_SoloDance_Junior_Beginner[[#This Row],[J1 TOTAL]])+1</calculatedColumnFormula>
    </tableColumn>
    <tableColumn id="16" xr3:uid="{0CD8A5C2-6D89-4EC9-9456-D6FE3FBF56B5}" name="Judge 2_x000a_Tihomir Bendelja" dataDxfId="595"/>
    <tableColumn id="34" xr3:uid="{EF5E1135-6580-4DBA-A540-DA938954560C}" name="J2 (-)" dataDxfId="594"/>
    <tableColumn id="28" xr3:uid="{F15C038C-C4A1-47C9-AAF9-98B09F9E2533}" name="J2 TOTAL" dataDxfId="593">
      <calculatedColumnFormula>Twirling_Solo_SoloDance_Junior_Beginner[[#This Row],[Judge 2
Tihomir Bendelja]]-Twirling_Solo_SoloDance_Junior_Beginner[[#This Row],[J2 (-)]]</calculatedColumnFormula>
    </tableColumn>
    <tableColumn id="5" xr3:uid="{B5B41C5C-4BAE-42B0-86A2-5B1E50CE5704}" name="J2 (Rank)" dataDxfId="592">
      <calculatedColumnFormula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Row],[Category]],Twirling_Solo_SoloDance_Junior_Beginner[J2 TOTAL],"&gt;"&amp;Twirling_Solo_SoloDance_Junior_Beginner[[#This Row],[J2 TOTAL]])+1</calculatedColumnFormula>
    </tableColumn>
    <tableColumn id="17" xr3:uid="{8824B333-58EE-43E4-8A06-2B89D178A29D}" name="Judge 3_x000a_Tea Softić" dataDxfId="591"/>
    <tableColumn id="35" xr3:uid="{DDA5FD0A-C057-421B-9DC6-6E59AE71A41E}" name="J3 (-)" dataDxfId="590"/>
    <tableColumn id="30" xr3:uid="{20D16550-74FD-4C73-A40D-5009F4FA4B7B}" name="J3 TOTAL" dataDxfId="589">
      <calculatedColumnFormula>Twirling_Solo_SoloDance_Junior_Beginner[[#This Row],[Judge 3
Tea Softić]]-R2</calculatedColumnFormula>
    </tableColumn>
    <tableColumn id="6" xr3:uid="{3B9519B7-D552-4406-9E11-6F8CC0F27D78}" name="J3 (Rank)" dataDxfId="588">
      <calculatedColumnFormula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Row],[Category]],Twirling_Solo_SoloDance_Junior_Beginner[J3 TOTAL],"&gt;"&amp;Twirling_Solo_SoloDance_Junior_Beginner[[#This Row],[J3 TOTAL]])+1</calculatedColumnFormula>
    </tableColumn>
    <tableColumn id="18" xr3:uid="{A243BB92-303C-4138-8568-FBE86C860511}" name="Judge 4_x000a_Bernard Barač" dataDxfId="587"/>
    <tableColumn id="36" xr3:uid="{81B36256-8B84-47A0-A27A-99E732E91AD2}" name="J4 (-)" dataDxfId="586"/>
    <tableColumn id="31" xr3:uid="{DAA0CC69-1CCE-42B0-98A6-78F637EC7C1D}" name="J4 TOTAL" dataDxfId="585">
      <calculatedColumnFormula>Twirling_Solo_SoloDance_Junior_Beginner[[#This Row],[Judge 4
Bernard Barač]]-V2</calculatedColumnFormula>
    </tableColumn>
    <tableColumn id="7" xr3:uid="{2541FCD5-C567-4A12-BC67-5D8EA3C51B82}" name="J4 (Rank)" dataDxfId="584">
      <calculatedColumnFormula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Row],[Category]],Twirling_Solo_SoloDance_Junior_Beginner[J4 TOTAL],"&gt;"&amp;Twirling_Solo_SoloDance_Junior_Beginner[[#This Row],[J4 TOTAL]])+1</calculatedColumnFormula>
    </tableColumn>
    <tableColumn id="12" xr3:uid="{95476D64-6C76-4C1D-8C78-4DFB57AF3F70}" name="Judge 5_x000a_Barbara Novina" dataDxfId="583"/>
    <tableColumn id="11" xr3:uid="{5C4DBD03-F6EB-4F8D-AABB-B1B6E9CD91F4}" name="J5 (-)" dataDxfId="582"/>
    <tableColumn id="10" xr3:uid="{67956E4C-51CD-4D7A-9226-9A45C29482AB}" name="J5 TOTAL" dataDxfId="581">
      <calculatedColumnFormula>Twirling_Solo_SoloDance_Junior_Beginner[[#This Row],[Judge 5
Barbara Novina]]-Z2</calculatedColumnFormula>
    </tableColumn>
    <tableColumn id="2" xr3:uid="{DF1355AF-3AEA-4069-879C-4D9B06866633}" name="J5 (Rank)" dataDxfId="580">
      <calculatedColumnFormula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Row],[Category]],Twirling_Solo_SoloDance_Junior_Beginner[J5 TOTAL],"&gt;"&amp;Twirling_Solo_SoloDance_Junior_Beginner[[#This Row],[J5 TOTAL]])+1</calculatedColumnFormula>
    </tableColumn>
    <tableColumn id="20" xr3:uid="{8F4F11EF-FDEA-4652-A836-0A078E1ABDD1}" name="Total" dataDxfId="579">
      <calculatedColumnFormula>SUM(Twirling_Solo_SoloDance_Junior_Beginner[[#This Row],[J1 TOTAL]]+Twirling_Solo_SoloDance_Junior_Beginner[[#This Row],[J2 TOTAL]]+Twirling_Solo_SoloDance_Junior_Beginner[[#This Row],[J3 TOTAL]]+Twirling_Solo_SoloDance_Junior_Beginner[[#This Row],[J4 TOTAL]])+Twirling_Solo_SoloDance_Junior_Beginner[[#This Row],[J5 TOTAL]]</calculatedColumnFormula>
    </tableColumn>
    <tableColumn id="23" xr3:uid="{63A5A7EA-C3E8-4335-B5B1-A1FE369BBF9F}" name="Low" dataDxfId="578"/>
    <tableColumn id="19" xr3:uid="{4F84CC9A-5D5C-404C-9409-42EA8D890FC0}" name="High" dataDxfId="577"/>
    <tableColumn id="25" xr3:uid="{83F09B5C-1488-49D0-BB14-A8D15705E851}" name="Final Total" dataDxfId="576">
      <calculatedColumnFormula>SUM(Twirling_Solo_SoloDance_Junior_Beginner[[#This Row],[Total]]-Twirling_Solo_SoloDance_Junior_Beginner[[#This Row],[Low]]-Twirling_Solo_SoloDance_Junior_Beginner[[#This Row],[High]])</calculatedColumnFormula>
    </tableColumn>
    <tableColumn id="24" xr3:uid="{0FB99628-B454-4BC0-875A-DAD08B11CB3F}" name="Avg" dataDxfId="575">
      <calculatedColumnFormula>AVERAGE(I2,M2,Q2,U2,Y2)</calculatedColumnFormula>
    </tableColumn>
    <tableColumn id="22" xr3:uid="{D8162A6E-F4D4-4391-BF41-3DF51506F3E9}" name="FINAL SCORE" dataDxfId="574">
      <calculatedColumnFormula>Twirling_Solo_SoloDance_Junior_Beginner[[#This Row],[Final Total]]</calculatedColumnFormula>
    </tableColumn>
    <tableColumn id="27" xr3:uid="{CF4E8780-7ABC-424B-8174-96C36B72333F}" name="Rank" dataDxfId="573">
      <calculatedColumnFormula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Row],[Category]],Twirling_Solo_SoloDance_Junior_Beginner[FINAL SCORE],"&gt;"&amp;Twirling_Solo_SoloDance_Junior_Beginner[[#This Row],[FINAL SCORE]])+1</calculatedColumnFormula>
    </tableColumn>
    <tableColumn id="39" xr3:uid="{1059D084-64F0-4454-B045-460BD63EBA44}" name="Category Type" dataDxfId="572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93D09C82-9330-46DC-B6FA-426EA98C4209}" name="Twirling_Solo_SoloDance_Junior_Intermediate" displayName="Twirling_Solo_SoloDance_Junior_Intermediate" ref="A1:AJ19" totalsRowShown="0" headerRowDxfId="533" dataDxfId="532">
  <autoFilter ref="A1:AJ19" xr:uid="{042C9DAD-4CB0-4D2A-8C87-3D9863992DF4}"/>
  <sortState xmlns:xlrd2="http://schemas.microsoft.com/office/spreadsheetml/2017/richdata2" ref="A2:AJ19">
    <sortCondition ref="AI1:AI19"/>
  </sortState>
  <tableColumns count="36">
    <tableColumn id="1" xr3:uid="{539D6DFC-7BE0-4DCB-AE4B-983DBEEC5001}" name="Start No." dataDxfId="569"/>
    <tableColumn id="8" xr3:uid="{DE452730-FD5C-4E9B-9000-65CA2EBCF96E}" name="Lane" dataDxfId="568"/>
    <tableColumn id="9" xr3:uid="{ECDF1501-BFE8-4F41-88F9-77EDA35DAA79}" name="Category" dataDxfId="567"/>
    <tableColumn id="32" xr3:uid="{F8C34CCB-C594-4F9D-B09A-8B9F5C9BE2F7}" name="Age_x000a_Division" dataDxfId="566"/>
    <tableColumn id="40" xr3:uid="{BAD5AF88-A221-4168-9E08-E1664566F7A5}" name="Level" dataDxfId="565"/>
    <tableColumn id="4" xr3:uid="{FAD9A4C8-7AE7-49AB-8292-8FA0300F57F2}" name="Athlete" dataDxfId="564"/>
    <tableColumn id="38" xr3:uid="{BAD93333-09C8-4808-8873-BD0D0F5D4B1D}" name="Club" dataDxfId="563"/>
    <tableColumn id="37" xr3:uid="{01F8AABB-BD76-4A2F-90FE-A2957C5FC8DE}" name="Country" dataDxfId="562"/>
    <tableColumn id="15" xr3:uid="{E3D4B54B-5F26-494A-B566-517F2D489D8E}" name="Judge 1_x000a_Tamara Beljak" dataDxfId="561"/>
    <tableColumn id="33" xr3:uid="{BFB131C4-8619-475C-BB6F-B86307717019}" name="J1 (-)" dataDxfId="560"/>
    <tableColumn id="26" xr3:uid="{BF2BB764-1B53-49FB-9F8C-A1BDD97AFDD6}" name="J1 TOTAL" dataDxfId="559">
      <calculatedColumnFormula>Twirling_Solo_SoloDance_Junior_Intermediate[[#This Row],[Judge 1
Tamara Beljak]]-J2</calculatedColumnFormula>
    </tableColumn>
    <tableColumn id="3" xr3:uid="{5486FA0F-1191-43AF-9138-234587F0F07F}" name="J1 (Rank)" dataDxfId="558">
      <calculatedColumnFormula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calculatedColumnFormula>
    </tableColumn>
    <tableColumn id="16" xr3:uid="{45217B8A-6BA6-4D28-97CD-51E73E6AC26F}" name="Judge 2_x000a_Tihomir Bendelja" dataDxfId="557"/>
    <tableColumn id="34" xr3:uid="{E308D56E-4988-471B-9F96-80594B22325C}" name="J2 (-)" dataDxfId="556"/>
    <tableColumn id="28" xr3:uid="{2EDF17DB-B9E9-49CE-B22E-AA6C3D8C96DC}" name="J2 TOTAL" dataDxfId="555">
      <calculatedColumnFormula>Twirling_Solo_SoloDance_Junior_Intermediate[[#This Row],[Judge 2
Tihomir Bendelja]]-Twirling_Solo_SoloDance_Junior_Intermediate[[#This Row],[J2 (-)]]</calculatedColumnFormula>
    </tableColumn>
    <tableColumn id="5" xr3:uid="{0532F8E8-418A-4FE1-AB8D-408E03A14FF6}" name="J2 (Rank)" dataDxfId="554">
      <calculatedColumnFormula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calculatedColumnFormula>
    </tableColumn>
    <tableColumn id="17" xr3:uid="{23E695D0-5C90-43B8-ABEA-821662DD4078}" name="Judge 3_x000a_Tea Softić" dataDxfId="553"/>
    <tableColumn id="35" xr3:uid="{0FAF06D3-4D8D-43C3-8D0C-8C286EAAE089}" name="J3 (-)" dataDxfId="552"/>
    <tableColumn id="30" xr3:uid="{C08C91AF-D01F-47F1-934C-53D6F0869C17}" name="J3 TOTAL" dataDxfId="551">
      <calculatedColumnFormula>Twirling_Solo_SoloDance_Junior_Intermediate[[#This Row],[Judge 3
Tea Softić]]-R2</calculatedColumnFormula>
    </tableColumn>
    <tableColumn id="6" xr3:uid="{A9DD7059-AF79-472F-B683-7B4C8FCF17EE}" name="J3 (Rank)" dataDxfId="550">
      <calculatedColumnFormula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calculatedColumnFormula>
    </tableColumn>
    <tableColumn id="18" xr3:uid="{F6766F6E-6875-425B-B930-BEDA3586EBAF}" name="Judge 4_x000a_Bernard Barač" dataDxfId="549"/>
    <tableColumn id="36" xr3:uid="{E3F373D8-716A-4891-9A67-C53600FBAB02}" name="J4 (-)" dataDxfId="548"/>
    <tableColumn id="31" xr3:uid="{D82CD225-AD18-4037-8A07-1A2B6959A756}" name="J4 TOTAL" dataDxfId="547">
      <calculatedColumnFormula>Twirling_Solo_SoloDance_Junior_Intermediate[[#This Row],[Judge 4
Bernard Barač]]-V2</calculatedColumnFormula>
    </tableColumn>
    <tableColumn id="7" xr3:uid="{3733D238-D261-4E44-B18A-F4F6BFEDBC40}" name="J4 (Rank)" dataDxfId="546">
      <calculatedColumnFormula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calculatedColumnFormula>
    </tableColumn>
    <tableColumn id="12" xr3:uid="{04DA4047-EDA4-4047-B5FE-A815DC46523F}" name="Judge 5_x000a_Barbara Novina" dataDxfId="545"/>
    <tableColumn id="11" xr3:uid="{FFD3387A-DAF5-4AAA-9EEC-35DE2398642A}" name="J5 (-)" dataDxfId="544"/>
    <tableColumn id="10" xr3:uid="{967CAE18-2194-4B00-9EB7-2C3063909748}" name="J5 TOTAL" dataDxfId="543">
      <calculatedColumnFormula>Twirling_Solo_SoloDance_Junior_Intermediate[[#This Row],[Judge 5
Barbara Novina]]-Y2</calculatedColumnFormula>
    </tableColumn>
    <tableColumn id="2" xr3:uid="{0470A10E-56D7-4484-88C5-3EBD51AABA6E}" name="J5 (Rank)" dataDxfId="542">
      <calculatedColumnFormula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calculatedColumnFormula>
    </tableColumn>
    <tableColumn id="20" xr3:uid="{43740940-24D7-4E6E-8399-8F8B0740D27F}" name="Total" dataDxfId="541">
      <calculatedColumnFormula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calculatedColumnFormula>
    </tableColumn>
    <tableColumn id="23" xr3:uid="{FA4A0B44-54C8-44BE-ACAC-20F1504465ED}" name="Low" dataDxfId="540"/>
    <tableColumn id="19" xr3:uid="{54B9B9B7-0B8F-4ECB-A920-3FBA05A8C6E9}" name="High" dataDxfId="539"/>
    <tableColumn id="25" xr3:uid="{F63E39FA-D72D-4664-A04A-AF75302C5484}" name="Final Total" dataDxfId="538">
      <calculatedColumnFormula>SUM(Twirling_Solo_SoloDance_Junior_Intermediate[[#This Row],[Total]]-Twirling_Solo_SoloDance_Junior_Intermediate[[#This Row],[Low]]-Twirling_Solo_SoloDance_Junior_Intermediate[[#This Row],[High]])</calculatedColumnFormula>
    </tableColumn>
    <tableColumn id="24" xr3:uid="{D0102B75-DE6E-4C47-A5C2-8BB8F0156832}" name="Avg" dataDxfId="537">
      <calculatedColumnFormula>AVERAGE(I2,M2,Q2,U2,Y2)</calculatedColumnFormula>
    </tableColumn>
    <tableColumn id="22" xr3:uid="{2A0640DA-CBB1-47F2-865A-FB4150231E88}" name="FINAL SCORE" dataDxfId="536">
      <calculatedColumnFormula>Twirling_Solo_SoloDance_Junior_Intermediate[[#This Row],[Final Total]]</calculatedColumnFormula>
    </tableColumn>
    <tableColumn id="27" xr3:uid="{902D239B-82DE-40CD-9C8E-A429FF6CCF09}" name="Rank" dataDxfId="535">
      <calculatedColumnFormula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calculatedColumnFormula>
    </tableColumn>
    <tableColumn id="39" xr3:uid="{A07A0441-0BA8-443C-A42D-1EAD6C49BB58}" name="Category Type" dataDxfId="534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45C2B628-17B7-4959-BBCC-B4E40E56032D}" name="Twirling_Solo_SoloDance_Junior_Advanced" displayName="Twirling_Solo_SoloDance_Junior_Advanced" ref="A1:AJ7" totalsRowShown="0" headerRowDxfId="495" dataDxfId="494">
  <autoFilter ref="A1:AJ7" xr:uid="{042C9DAD-4CB0-4D2A-8C87-3D9863992DF4}"/>
  <sortState xmlns:xlrd2="http://schemas.microsoft.com/office/spreadsheetml/2017/richdata2" ref="A2:AJ7">
    <sortCondition ref="AI1:AI7"/>
  </sortState>
  <tableColumns count="36">
    <tableColumn id="1" xr3:uid="{26C1764F-A8C0-445B-93DB-F86CC468F388}" name="Start No." dataDxfId="531"/>
    <tableColumn id="8" xr3:uid="{93C0DC9B-428A-4B03-9AE6-26E3FED9C21C}" name="Lane" dataDxfId="530"/>
    <tableColumn id="9" xr3:uid="{92B7CBC8-00E0-4500-97BD-78653CC65380}" name="Category" dataDxfId="529"/>
    <tableColumn id="32" xr3:uid="{8579A324-2410-45CC-9B76-79F9DE34D6DA}" name="Age_x000a_Division" dataDxfId="528"/>
    <tableColumn id="40" xr3:uid="{2C8536DC-1458-4D17-9D26-AE06E48CF003}" name="Level" dataDxfId="527"/>
    <tableColumn id="4" xr3:uid="{2157BE2C-B30D-47A8-9FCC-BA62F0085326}" name="Athlete" dataDxfId="526"/>
    <tableColumn id="38" xr3:uid="{DB5EA969-6D72-4B9B-813F-A6DF6E8E02AE}" name="Club" dataDxfId="525"/>
    <tableColumn id="37" xr3:uid="{01989FC4-4829-47B7-8041-0418E2E0F7E5}" name="Country" dataDxfId="524"/>
    <tableColumn id="15" xr3:uid="{854328F9-73AB-449A-B368-E1FBF0FE81B7}" name="Judge 1_x000a_Tamara Beljak" dataDxfId="523"/>
    <tableColumn id="33" xr3:uid="{FAFCBDB2-8EAE-403C-A35B-5895347DC218}" name="J1 (-)" dataDxfId="522"/>
    <tableColumn id="26" xr3:uid="{63CD9023-B0BE-48BC-8577-4A536BDA0097}" name="J1 TOTAL" dataDxfId="521">
      <calculatedColumnFormula>Twirling_Solo_SoloDance_Junior_Advanced[[#This Row],[Judge 1
Tamara Beljak]]-J2</calculatedColumnFormula>
    </tableColumn>
    <tableColumn id="3" xr3:uid="{2552C77C-AC73-434C-BA5D-9238A6A9B03B}" name="J1 (Rank)" dataDxfId="520">
      <calculatedColumnFormula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Row],[Category]],Twirling_Solo_SoloDance_Junior_Advanced[J1 TOTAL],"&gt;"&amp;Twirling_Solo_SoloDance_Junior_Advanced[[#This Row],[J1 TOTAL]])+1</calculatedColumnFormula>
    </tableColumn>
    <tableColumn id="16" xr3:uid="{0048E408-B969-439F-AD96-6BEB3BA87BD5}" name="Judge 2_x000a_Tihomir Bendelja" dataDxfId="519"/>
    <tableColumn id="34" xr3:uid="{DA53CFCA-DD9E-413C-8ED0-74A171B25DE7}" name="J2 (-)" dataDxfId="518"/>
    <tableColumn id="28" xr3:uid="{23BA28FF-687D-4682-B56C-4FCA31F5AC5F}" name="J2 TOTAL" dataDxfId="517">
      <calculatedColumnFormula>Twirling_Solo_SoloDance_Junior_Advanced[[#This Row],[Judge 2
Tihomir Bendelja]]-Twirling_Solo_SoloDance_Junior_Advanced[[#This Row],[J2 (-)]]</calculatedColumnFormula>
    </tableColumn>
    <tableColumn id="5" xr3:uid="{2A46620A-29BB-4ABB-91BA-49AD2DFC62CE}" name="J2 (Rank)" dataDxfId="516">
      <calculatedColumnFormula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Row],[Category]],Twirling_Solo_SoloDance_Junior_Advanced[J2 TOTAL],"&gt;"&amp;Twirling_Solo_SoloDance_Junior_Advanced[[#This Row],[J2 TOTAL]])+1</calculatedColumnFormula>
    </tableColumn>
    <tableColumn id="17" xr3:uid="{2B01AF24-02B5-408F-8BEF-C3C24ACCB2AA}" name="Judge 3_x000a_Tea Softić" dataDxfId="515"/>
    <tableColumn id="35" xr3:uid="{39E97C25-1CC4-46AA-8A0A-CD34B902A7EC}" name="J3 (-)" dataDxfId="514"/>
    <tableColumn id="30" xr3:uid="{0BF8E799-32C2-4E71-951A-5DD1EAE8ABDA}" name="J3 TOTAL" dataDxfId="513">
      <calculatedColumnFormula>Twirling_Solo_SoloDance_Junior_Advanced[[#This Row],[Judge 3
Tea Softić]]-R2</calculatedColumnFormula>
    </tableColumn>
    <tableColumn id="6" xr3:uid="{0C64BD47-D0E5-4E8F-AF4F-888543259099}" name="J3 (Rank)" dataDxfId="512">
      <calculatedColumnFormula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Row],[Category]],Twirling_Solo_SoloDance_Junior_Advanced[J3 TOTAL],"&gt;"&amp;Twirling_Solo_SoloDance_Junior_Advanced[[#This Row],[J3 TOTAL]])+1</calculatedColumnFormula>
    </tableColumn>
    <tableColumn id="18" xr3:uid="{B7E7C335-09D1-41DF-A24A-BC40A4EE72F6}" name="Judge 4_x000a_Bernard Barač" dataDxfId="511"/>
    <tableColumn id="36" xr3:uid="{946CDF89-DFD3-4568-9BDF-CDEE1B114DD1}" name="J4 (-)" dataDxfId="510"/>
    <tableColumn id="31" xr3:uid="{443D3D7F-9D7B-4BC4-B6C5-6E03619F3364}" name="J4 TOTAL" dataDxfId="509">
      <calculatedColumnFormula>Twirling_Solo_SoloDance_Junior_Advanced[[#This Row],[Judge 4
Bernard Barač]]-V2</calculatedColumnFormula>
    </tableColumn>
    <tableColumn id="7" xr3:uid="{FB2F81EC-2319-4B1D-B22F-BE415BF6F236}" name="J4 (Rank)" dataDxfId="508">
      <calculatedColumnFormula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Row],[Category]],Twirling_Solo_SoloDance_Junior_Advanced[J4 TOTAL],"&gt;"&amp;Twirling_Solo_SoloDance_Junior_Advanced[[#This Row],[J4 TOTAL]])+1</calculatedColumnFormula>
    </tableColumn>
    <tableColumn id="12" xr3:uid="{490B5A2D-61C3-4814-B8D4-12C5675EF57E}" name="Judge 5_x000a_Barbara Novina" dataDxfId="507"/>
    <tableColumn id="11" xr3:uid="{EFFB7734-E617-4821-930F-417F12790395}" name="J5 (-)" dataDxfId="506"/>
    <tableColumn id="10" xr3:uid="{B5931E22-FD28-442B-A877-8A7A3B9892C1}" name="J5 TOTAL" dataDxfId="505">
      <calculatedColumnFormula>Twirling_Solo_SoloDance_Junior_Advanced[[#This Row],[Judge 5
Barbara Novina]]-Z2</calculatedColumnFormula>
    </tableColumn>
    <tableColumn id="2" xr3:uid="{497F1A2C-EABF-4BEE-81B8-9A1E86747277}" name="J5 (Rank)" dataDxfId="504">
      <calculatedColumnFormula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Row],[Category]],Twirling_Solo_SoloDance_Junior_Advanced[J5 TOTAL],"&gt;"&amp;Twirling_Solo_SoloDance_Junior_Advanced[[#This Row],[J5 TOTAL]])+1</calculatedColumnFormula>
    </tableColumn>
    <tableColumn id="20" xr3:uid="{4451A8D6-DAAF-4725-979F-1DD877B54314}" name="Total" dataDxfId="503">
      <calculatedColumnFormula>SUM(Twirling_Solo_SoloDance_Junior_Advanced[[#This Row],[J1 TOTAL]]+Twirling_Solo_SoloDance_Junior_Advanced[[#This Row],[J2 TOTAL]]+Twirling_Solo_SoloDance_Junior_Advanced[[#This Row],[J3 TOTAL]]+Twirling_Solo_SoloDance_Junior_Advanced[[#This Row],[J4 TOTAL]])+Twirling_Solo_SoloDance_Junior_Advanced[[#This Row],[J5 TOTAL]]</calculatedColumnFormula>
    </tableColumn>
    <tableColumn id="23" xr3:uid="{3857DDF1-C1D4-4FEE-8E9B-091AA86F27CF}" name="Low" dataDxfId="502"/>
    <tableColumn id="19" xr3:uid="{CE536201-7010-469F-8644-4EAE6912159A}" name="High" dataDxfId="501"/>
    <tableColumn id="25" xr3:uid="{0850753A-715E-414D-857D-5AB3B32D8E84}" name="Final Total" dataDxfId="500">
      <calculatedColumnFormula>SUM(Twirling_Solo_SoloDance_Junior_Advanced[[#This Row],[Total]]-Twirling_Solo_SoloDance_Junior_Advanced[[#This Row],[Low]]-Twirling_Solo_SoloDance_Junior_Advanced[[#This Row],[High]])</calculatedColumnFormula>
    </tableColumn>
    <tableColumn id="24" xr3:uid="{BF6A8833-4D8C-4622-AB90-74226815BBCB}" name="Avg" dataDxfId="499">
      <calculatedColumnFormula>AVERAGE(I2,M2,Q2,U2,Y2)</calculatedColumnFormula>
    </tableColumn>
    <tableColumn id="22" xr3:uid="{2D8A63A0-23F7-43FA-8449-38EE27D44DBB}" name="FINAL SCORE" dataDxfId="498">
      <calculatedColumnFormula>Twirling_Solo_SoloDance_Junior_Advanced[[#This Row],[Final Total]]</calculatedColumnFormula>
    </tableColumn>
    <tableColumn id="27" xr3:uid="{C7B7CBFE-F28C-49ED-BD2E-2A024B994A0F}" name="Rank" dataDxfId="497">
      <calculatedColumnFormula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Row],[Category]],Twirling_Solo_SoloDance_Junior_Advanced[FINAL SCORE],"&gt;"&amp;Twirling_Solo_SoloDance_Junior_Advanced[[#This Row],[FINAL SCORE]])+1</calculatedColumnFormula>
    </tableColumn>
    <tableColumn id="39" xr3:uid="{2AC90CA4-CE7E-42A9-88A6-B017DFA07E95}" name="Category Type" dataDxfId="496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6D06C4AF-1806-40A6-B2E6-0D997C0FD054}" name="Twirling_Duet_DuetDance_Children" displayName="Twirling_Duet_DuetDance_Children" ref="A1:AJ7" totalsRowShown="0" headerRowDxfId="457" dataDxfId="456">
  <autoFilter ref="A1:AJ7" xr:uid="{042C9DAD-4CB0-4D2A-8C87-3D9863992DF4}"/>
  <sortState xmlns:xlrd2="http://schemas.microsoft.com/office/spreadsheetml/2017/richdata2" ref="A2:AJ7">
    <sortCondition ref="AI1:AI7"/>
  </sortState>
  <tableColumns count="36">
    <tableColumn id="1" xr3:uid="{01E9C272-C6E8-4A75-9BF5-AD086505D618}" name="Start No." dataDxfId="493"/>
    <tableColumn id="8" xr3:uid="{4096EE6E-07F4-4C61-A561-0F883CBFB54B}" name="Lane" dataDxfId="492"/>
    <tableColumn id="9" xr3:uid="{4AA11099-FEC0-4052-870A-1A7E29951A12}" name="Category" dataDxfId="491"/>
    <tableColumn id="32" xr3:uid="{BD736769-431D-4B89-A383-3F5DCA46EAB5}" name="Age_x000a_Division" dataDxfId="490"/>
    <tableColumn id="40" xr3:uid="{82919659-5121-477D-A696-77C0546D1AB3}" name="Level" dataDxfId="489"/>
    <tableColumn id="4" xr3:uid="{A396AF2D-1E18-43D9-81E5-890CB6E926AE}" name="Athlete" dataDxfId="488"/>
    <tableColumn id="38" xr3:uid="{B4980AE4-052C-4469-93A2-54B8128ECC49}" name="Club" dataDxfId="487"/>
    <tableColumn id="37" xr3:uid="{740D8790-A7DD-43E8-BDBD-5D40B5CFC3E8}" name="Country" dataDxfId="486"/>
    <tableColumn id="15" xr3:uid="{FE9D1B03-883B-43BE-96BC-932FEB4474FF}" name="Judge 1_x000a_Tamara Beljak" dataDxfId="485"/>
    <tableColumn id="33" xr3:uid="{6C9B97DF-DC9A-43DB-84EF-05B99A943EAB}" name="J1 (-)" dataDxfId="484"/>
    <tableColumn id="26" xr3:uid="{CE096CDB-8637-4458-B86B-E89CF4CFC7E5}" name="J1 TOTAL" dataDxfId="483">
      <calculatedColumnFormula>Twirling_Duet_DuetDance_Children[[#This Row],[Judge 1
Tamara Beljak]]-J2</calculatedColumnFormula>
    </tableColumn>
    <tableColumn id="3" xr3:uid="{F3F0C71C-BEA7-49DD-BA36-8880C35023C7}" name="J1 (Rank)" dataDxfId="482">
      <calculatedColumnFormula>COUNTIFS(Twirling_Duet_DuetDance_Children[Age
Division],Twirling_Duet_DuetDance_Children[[#This Row],[Age
Division]],Twirling_Duet_DuetDance_Children[Category],Twirling_Duet_DuetDance_Children[[#This Row],[Category]],Twirling_Duet_DuetDance_Children[J1 TOTAL],"&gt;"&amp;Twirling_Duet_DuetDance_Children[[#This Row],[J1 TOTAL]])+1</calculatedColumnFormula>
    </tableColumn>
    <tableColumn id="16" xr3:uid="{F64D4E9A-BD6B-429E-86EB-09321ED17C7B}" name="Judge 2_x000a_Tihomir Bendelja" dataDxfId="481"/>
    <tableColumn id="34" xr3:uid="{98C5D8D1-3542-462C-9DCF-B474AD9E432D}" name="J2 (-)" dataDxfId="480"/>
    <tableColumn id="28" xr3:uid="{D1012EE3-2EED-4984-8F79-3D7D9774983E}" name="J2 TOTAL" dataDxfId="479">
      <calculatedColumnFormula>Twirling_Duet_DuetDance_Children[[#This Row],[Judge 2
Tihomir Bendelja]]-Twirling_Duet_DuetDance_Children[[#This Row],[J2 (-)]]</calculatedColumnFormula>
    </tableColumn>
    <tableColumn id="5" xr3:uid="{813036A5-F5CE-44BA-84D5-87DF858ECE69}" name="J2 (Rank)" dataDxfId="478">
      <calculatedColumnFormula>COUNTIFS(Twirling_Duet_DuetDance_Children[Age
Division],Twirling_Duet_DuetDance_Children[[#This Row],[Age
Division]],Twirling_Duet_DuetDance_Children[Category],Twirling_Duet_DuetDance_Children[[#This Row],[Category]],Twirling_Duet_DuetDance_Children[J2 TOTAL],"&gt;"&amp;Twirling_Duet_DuetDance_Children[[#This Row],[J2 TOTAL]])+1</calculatedColumnFormula>
    </tableColumn>
    <tableColumn id="17" xr3:uid="{1C0F9C97-8682-4757-9A38-6EF429EB06AE}" name="Judge 3_x000a_Tea Softić" dataDxfId="477"/>
    <tableColumn id="35" xr3:uid="{94F433D4-CDFD-4665-A791-B1107D01C45B}" name="J3 (-)" dataDxfId="476"/>
    <tableColumn id="30" xr3:uid="{8CD162C2-2785-4AA1-BEFC-5B3E5A054702}" name="J3 TOTAL" dataDxfId="475">
      <calculatedColumnFormula>Twirling_Duet_DuetDance_Children[[#This Row],[Judge 3
Tea Softić]]-R2</calculatedColumnFormula>
    </tableColumn>
    <tableColumn id="6" xr3:uid="{9A04B4F1-7C54-4C15-9321-DF112477233F}" name="J3 (Rank)" dataDxfId="474">
      <calculatedColumnFormula>COUNTIFS(Twirling_Duet_DuetDance_Children[Age
Division],Twirling_Duet_DuetDance_Children[[#This Row],[Age
Division]],Twirling_Duet_DuetDance_Children[Category],Twirling_Duet_DuetDance_Children[[#This Row],[Category]],Twirling_Duet_DuetDance_Children[J3 TOTAL],"&gt;"&amp;Twirling_Duet_DuetDance_Children[[#This Row],[J3 TOTAL]])+1</calculatedColumnFormula>
    </tableColumn>
    <tableColumn id="18" xr3:uid="{99812985-0D38-40FC-B7AC-256D3201A994}" name="Judge 4_x000a_Bernard Barač" dataDxfId="473"/>
    <tableColumn id="36" xr3:uid="{14812C06-A6CF-473B-BF79-DA10B7C5ED53}" name="J4 (-)" dataDxfId="472"/>
    <tableColumn id="31" xr3:uid="{7B461FAC-4BFB-4C6B-B62C-059ACB8B150D}" name="J4 TOTAL" dataDxfId="471">
      <calculatedColumnFormula>Twirling_Duet_DuetDance_Children[[#This Row],[Judge 4
Bernard Barač]]-V2</calculatedColumnFormula>
    </tableColumn>
    <tableColumn id="7" xr3:uid="{202EA3B6-E5F9-435C-999A-B860EE39D3F9}" name="J4 (Rank)" dataDxfId="470">
      <calculatedColumnFormula>COUNTIFS(Twirling_Duet_DuetDance_Children[Age
Division],Twirling_Duet_DuetDance_Children[[#This Row],[Age
Division]],Twirling_Duet_DuetDance_Children[Category],Twirling_Duet_DuetDance_Children[[#This Row],[Category]],Twirling_Duet_DuetDance_Children[J4 TOTAL],"&gt;"&amp;Twirling_Duet_DuetDance_Children[[#This Row],[J4 TOTAL]])+1</calculatedColumnFormula>
    </tableColumn>
    <tableColumn id="12" xr3:uid="{D0A40684-1AC2-458B-8FDA-5361262C0D44}" name="Judge 5_x000a_Barbara Novina" dataDxfId="469"/>
    <tableColumn id="11" xr3:uid="{BDA97707-3669-419F-A42E-1119DED8D990}" name="J5 (-)" dataDxfId="468"/>
    <tableColumn id="10" xr3:uid="{11D75403-25F9-4A81-963E-60E82B4BFD32}" name="J5 TOTAL" dataDxfId="467">
      <calculatedColumnFormula>Twirling_Duet_DuetDance_Children[[#This Row],[Judge 5
Barbara Novina]]-Z2</calculatedColumnFormula>
    </tableColumn>
    <tableColumn id="2" xr3:uid="{AF96E043-08EA-4A13-AF7E-EE05AC529B25}" name="J5 (Rank)" dataDxfId="466">
      <calculatedColumnFormula>COUNTIFS(Twirling_Duet_DuetDance_Children[Age
Division],Twirling_Duet_DuetDance_Children[[#This Row],[Age
Division]],Twirling_Duet_DuetDance_Children[Category],Twirling_Duet_DuetDance_Children[[#This Row],[Category]],Twirling_Duet_DuetDance_Children[J5 TOTAL],"&gt;"&amp;Twirling_Duet_DuetDance_Children[[#This Row],[J5 TOTAL]])+1</calculatedColumnFormula>
    </tableColumn>
    <tableColumn id="20" xr3:uid="{73431521-7050-4302-B231-0C5CB49A54E2}" name="Total" dataDxfId="465">
      <calculatedColumnFormula>SUM(Twirling_Duet_DuetDance_Children[[#This Row],[J1 TOTAL]]+Twirling_Duet_DuetDance_Children[[#This Row],[J2 TOTAL]]+Twirling_Duet_DuetDance_Children[[#This Row],[J3 TOTAL]]+Twirling_Duet_DuetDance_Children[[#This Row],[J4 TOTAL]])+Twirling_Duet_DuetDance_Children[[#This Row],[J5 TOTAL]]</calculatedColumnFormula>
    </tableColumn>
    <tableColumn id="23" xr3:uid="{53F77116-FC61-4E5A-B07C-B0B6222751C8}" name="Low" dataDxfId="464"/>
    <tableColumn id="19" xr3:uid="{1008381C-8D6B-463B-AFCF-2DD6C4666AFE}" name="High" dataDxfId="463"/>
    <tableColumn id="25" xr3:uid="{22A19754-8010-4713-80B1-CF587AE67397}" name="Final Total" dataDxfId="462">
      <calculatedColumnFormula>SUM(Twirling_Duet_DuetDance_Children[[#This Row],[Total]]-Twirling_Duet_DuetDance_Children[[#This Row],[Low]]-Twirling_Duet_DuetDance_Children[[#This Row],[High]])</calculatedColumnFormula>
    </tableColumn>
    <tableColumn id="24" xr3:uid="{A626D7C2-AB81-4059-BA63-4A0FE0497644}" name="Avg" dataDxfId="461">
      <calculatedColumnFormula>AVERAGE(I2,M2,Q2,U2,Y2)</calculatedColumnFormula>
    </tableColumn>
    <tableColumn id="22" xr3:uid="{DD7FE651-83EF-45F1-B5FA-878601F0203F}" name="FINAL SCORE" dataDxfId="460">
      <calculatedColumnFormula>Twirling_Duet_DuetDance_Children[[#This Row],[Final Total]]</calculatedColumnFormula>
    </tableColumn>
    <tableColumn id="27" xr3:uid="{DA9F8AB6-14C6-4823-983D-C6D8E1240336}" name="Rank" dataDxfId="459">
      <calculatedColumnFormula>COUNTIFS(Twirling_Duet_DuetDance_Children[Age
Division],Twirling_Duet_DuetDance_Children[[#This Row],[Age
Division]],Twirling_Duet_DuetDance_Children[Category],Twirling_Duet_DuetDance_Children[[#This Row],[Category]],Twirling_Duet_DuetDance_Children[FINAL SCORE],"&gt;"&amp;Twirling_Duet_DuetDance_Children[[#This Row],[FINAL SCORE]])+1</calculatedColumnFormula>
    </tableColumn>
    <tableColumn id="39" xr3:uid="{8FDA19D8-00B2-468B-B4EC-E2690F2847CB}" name="Category Type" dataDxfId="458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AC4FF50-B3D0-4703-9A1C-28D5D67437AB}" name="Twirling_Duet_DuetDance_Cadet_Lower_Level" displayName="Twirling_Duet_DuetDance_Cadet_Lower_Level" ref="A1:AJ12" totalsRowShown="0" headerRowDxfId="419" dataDxfId="418">
  <autoFilter ref="A1:AJ12" xr:uid="{042C9DAD-4CB0-4D2A-8C87-3D9863992DF4}"/>
  <sortState xmlns:xlrd2="http://schemas.microsoft.com/office/spreadsheetml/2017/richdata2" ref="A2:AJ12">
    <sortCondition ref="AI1:AI12"/>
  </sortState>
  <tableColumns count="36">
    <tableColumn id="1" xr3:uid="{E428AB30-08B0-46A9-AE11-5AF7AAF698CD}" name="Start No." dataDxfId="455"/>
    <tableColumn id="8" xr3:uid="{E86AFB22-1C43-46F2-A545-49D30A151428}" name="Lane" dataDxfId="454"/>
    <tableColumn id="9" xr3:uid="{B8016DF8-CD89-4D2B-A0E7-2A51212F556A}" name="Category" dataDxfId="453"/>
    <tableColumn id="32" xr3:uid="{47F84E22-1BB8-46F6-AC1C-9BB57FCF82B1}" name="Age_x000a_Division" dataDxfId="452"/>
    <tableColumn id="40" xr3:uid="{2817C31E-5B20-4829-9AC9-FCC9EAA6BBD2}" name="Level" dataDxfId="451"/>
    <tableColumn id="4" xr3:uid="{72437F5D-E4BD-4CA1-9CC2-52351E257251}" name="Athlete" dataDxfId="450"/>
    <tableColumn id="38" xr3:uid="{D9740D96-B9BB-4A23-A9B6-434C88941BBE}" name="Club" dataDxfId="449"/>
    <tableColumn id="37" xr3:uid="{8BAFCFA2-F2D9-4A7A-962C-6FCBA666965B}" name="Country" dataDxfId="448"/>
    <tableColumn id="15" xr3:uid="{884544F9-AB16-4D77-AC70-63245B65B2DA}" name="Judge 1_x000a_Tamara Beljak" dataDxfId="447"/>
    <tableColumn id="33" xr3:uid="{45973641-06BC-4FE1-AA71-45AC386A16BE}" name="J1 (-)" dataDxfId="446"/>
    <tableColumn id="26" xr3:uid="{F9FCB40C-07E4-4A87-96C7-0B372864BC4F}" name="J1 TOTAL" dataDxfId="445">
      <calculatedColumnFormula>Twirling_Duet_DuetDance_Cadet_Lower_Level[[#This Row],[Judge 1
Tamara Beljak]]-J2</calculatedColumnFormula>
    </tableColumn>
    <tableColumn id="3" xr3:uid="{367251CD-F4D2-4555-9F57-19AAA7EB493C}" name="J1 (Rank)" dataDxfId="444">
      <calculatedColumnFormula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calculatedColumnFormula>
    </tableColumn>
    <tableColumn id="16" xr3:uid="{76697F6A-6DB3-4C28-8228-BB3C93222CB4}" name="Judge 2_x000a_Tihomir Bendelja" dataDxfId="443"/>
    <tableColumn id="34" xr3:uid="{A648FF6B-E8BB-4C08-B4E5-D6106E4A19FD}" name="J2 (-)" dataDxfId="442"/>
    <tableColumn id="28" xr3:uid="{918C5E9C-E8E6-47B0-AD82-A3EAE25028F7}" name="J2 TOTAL" dataDxfId="441">
      <calculatedColumnFormula>Twirling_Duet_DuetDance_Cadet_Lower_Level[[#This Row],[Judge 2
Tihomir Bendelja]]-Twirling_Duet_DuetDance_Cadet_Lower_Level[[#This Row],[J2 (-)]]</calculatedColumnFormula>
    </tableColumn>
    <tableColumn id="5" xr3:uid="{235E3C24-FC34-4EE9-83CC-432B885212DE}" name="J2 (Rank)" dataDxfId="440">
      <calculatedColumnFormula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calculatedColumnFormula>
    </tableColumn>
    <tableColumn id="17" xr3:uid="{06F671F6-9CDD-47AC-A8CC-04758CD8C064}" name="Judge 3_x000a_Tea Softić" dataDxfId="439"/>
    <tableColumn id="35" xr3:uid="{DB801786-9DA5-4EA5-AF82-35B9B2E2AFFE}" name="J3 (-)" dataDxfId="438"/>
    <tableColumn id="30" xr3:uid="{D4E7406F-75E1-4026-AFCC-E3D42DA268A6}" name="J3 TOTAL" dataDxfId="437">
      <calculatedColumnFormula>Twirling_Duet_DuetDance_Cadet_Lower_Level[[#This Row],[Judge 3
Tea Softić]]-R2</calculatedColumnFormula>
    </tableColumn>
    <tableColumn id="6" xr3:uid="{8E25FD12-4CD6-4A5C-8F95-72B159E7AC36}" name="J3 (Rank)" dataDxfId="436">
      <calculatedColumnFormula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calculatedColumnFormula>
    </tableColumn>
    <tableColumn id="18" xr3:uid="{9FD281C3-5AE3-4983-BA50-2EEA19F19663}" name="Judge 4_x000a_Bernard Barač" dataDxfId="435"/>
    <tableColumn id="36" xr3:uid="{AF07CF9F-5D0D-4881-9F31-A075145EE479}" name="J4 (-)" dataDxfId="434"/>
    <tableColumn id="31" xr3:uid="{2418915D-4410-49C5-B990-28482900E693}" name="J4 TOTAL" dataDxfId="433">
      <calculatedColumnFormula>Twirling_Duet_DuetDance_Cadet_Lower_Level[[#This Row],[Judge 4
Bernard Barač]]-V2</calculatedColumnFormula>
    </tableColumn>
    <tableColumn id="7" xr3:uid="{BFD81EC4-3762-4D8A-82FC-ED76048FD0CA}" name="J4 (Rank)" dataDxfId="432">
      <calculatedColumnFormula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calculatedColumnFormula>
    </tableColumn>
    <tableColumn id="12" xr3:uid="{F5DA80DE-9FAB-4DCB-AC13-5407714E33C3}" name="Judge 5_x000a_Barbara Novina" dataDxfId="431"/>
    <tableColumn id="11" xr3:uid="{449E23BF-156F-4E90-9DA8-4E2DCB95E7EA}" name="J5 (-)" dataDxfId="430"/>
    <tableColumn id="10" xr3:uid="{93095FB4-9B0B-4D44-866B-426A891C5793}" name="J5 TOTAL" dataDxfId="429">
      <calculatedColumnFormula>Twirling_Duet_DuetDance_Cadet_Lower_Level[[#This Row],[Judge 5
Barbara Novina]]-Y2</calculatedColumnFormula>
    </tableColumn>
    <tableColumn id="2" xr3:uid="{669F34B1-AA37-4F42-9BC0-7C9FE7ED9E39}" name="J5 (Rank)" dataDxfId="428">
      <calculatedColumnFormula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calculatedColumnFormula>
    </tableColumn>
    <tableColumn id="20" xr3:uid="{31920C0C-230C-4BD9-9E58-1D13BAE67003}" name="Total" dataDxfId="427">
      <calculatedColumnFormula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calculatedColumnFormula>
    </tableColumn>
    <tableColumn id="23" xr3:uid="{8A576A89-BDDE-46B5-A942-38F422E830BC}" name="Low" dataDxfId="426"/>
    <tableColumn id="19" xr3:uid="{ABCCE90D-21B1-4DEC-A28C-BE3AA2FDF6A2}" name="High" dataDxfId="425"/>
    <tableColumn id="25" xr3:uid="{7397BCA3-1B52-4769-BD0E-7891C9A49F59}" name="Final Total" dataDxfId="424">
      <calculatedColumnFormula>SUM(Twirling_Duet_DuetDance_Cadet_Lower_Level[[#This Row],[Total]]-Twirling_Duet_DuetDance_Cadet_Lower_Level[[#This Row],[Low]]-Twirling_Duet_DuetDance_Cadet_Lower_Level[[#This Row],[High]])</calculatedColumnFormula>
    </tableColumn>
    <tableColumn id="24" xr3:uid="{748854C1-4596-4999-8A7D-DFC25C15D14B}" name="Avg" dataDxfId="423">
      <calculatedColumnFormula>AVERAGE(I2,M2,Q2,U2,Y2)</calculatedColumnFormula>
    </tableColumn>
    <tableColumn id="22" xr3:uid="{2197E543-6161-4C47-A184-776E851104B9}" name="FINAL SCORE" dataDxfId="422">
      <calculatedColumnFormula>Twirling_Duet_DuetDance_Cadet_Lower_Level[[#This Row],[Final Total]]</calculatedColumnFormula>
    </tableColumn>
    <tableColumn id="27" xr3:uid="{CA786812-C680-424A-877A-E40E502BD8F0}" name="Rank" dataDxfId="421">
      <calculatedColumnFormula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calculatedColumnFormula>
    </tableColumn>
    <tableColumn id="39" xr3:uid="{EE548015-7BBD-4AA3-B6C4-10DC0A2C2B5E}" name="Category Type" dataDxfId="420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3362BDC-3115-4AAA-9DE9-2D16B8477ACE}" name="Twirling_Duet_DuetDance_Junior_Lower_Level" displayName="Twirling_Duet_DuetDance_Junior_Lower_Level" ref="A1:AJ7" totalsRowShown="0" headerRowDxfId="381" dataDxfId="380">
  <autoFilter ref="A1:AJ7" xr:uid="{042C9DAD-4CB0-4D2A-8C87-3D9863992DF4}"/>
  <sortState xmlns:xlrd2="http://schemas.microsoft.com/office/spreadsheetml/2017/richdata2" ref="A2:AJ7">
    <sortCondition ref="AI1:AI7"/>
  </sortState>
  <tableColumns count="36">
    <tableColumn id="1" xr3:uid="{334E0798-057D-4B41-9595-852236E0E012}" name="Start No." dataDxfId="417"/>
    <tableColumn id="8" xr3:uid="{29560579-6166-490B-9963-41C3F6E1BFEF}" name="Lane" dataDxfId="416"/>
    <tableColumn id="9" xr3:uid="{09E7B8F6-9BC9-41C7-8264-7212292EE4D1}" name="Category" dataDxfId="415"/>
    <tableColumn id="32" xr3:uid="{0F93BEB0-4600-4CEB-B6C7-2AE90A171983}" name="Age_x000a_Division" dataDxfId="414"/>
    <tableColumn id="40" xr3:uid="{2773D31A-E3A5-41D1-8ADB-9DE8F00FD660}" name="Level" dataDxfId="413"/>
    <tableColumn id="4" xr3:uid="{DE955DC9-C15E-45F1-84FF-15CFC60FEB7C}" name="Athlete" dataDxfId="412"/>
    <tableColumn id="38" xr3:uid="{176A1F7C-BEBC-4E50-9601-85F3AB70F3D1}" name="Club" dataDxfId="411"/>
    <tableColumn id="37" xr3:uid="{EE9D1328-E482-4AB3-A341-CEE41DCA8E38}" name="Country" dataDxfId="410"/>
    <tableColumn id="15" xr3:uid="{F681B29C-AD81-4E23-9CD5-6BBAA5393E12}" name="Judge 1_x000a_Tamara Beljak" dataDxfId="409"/>
    <tableColumn id="33" xr3:uid="{61793562-945F-4E5F-B2E3-42914343FAB0}" name="J1 (-)" dataDxfId="408"/>
    <tableColumn id="26" xr3:uid="{095A1C43-0760-432E-943F-3FC90760A0DE}" name="J1 TOTAL" dataDxfId="407">
      <calculatedColumnFormula>Twirling_Duet_DuetDance_Junior_Lower_Level[[#This Row],[Judge 1
Tamara Beljak]]-J2</calculatedColumnFormula>
    </tableColumn>
    <tableColumn id="3" xr3:uid="{2D3430FF-43D8-44C0-97C4-8DED7D022DEC}" name="J1 (Rank)" dataDxfId="406">
      <calculatedColumnFormula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Row],[Category]],Twirling_Duet_DuetDance_Junior_Lower_Level[J1 TOTAL],"&gt;"&amp;Twirling_Duet_DuetDance_Junior_Lower_Level[[#This Row],[J1 TOTAL]])+1</calculatedColumnFormula>
    </tableColumn>
    <tableColumn id="16" xr3:uid="{E7E0828C-959B-42D9-A82A-0F60870F3C7F}" name="Judge 2_x000a_Tihomir Bendelja" dataDxfId="405"/>
    <tableColumn id="34" xr3:uid="{F21BEF14-392D-4A0E-ABAA-38E2794DDE8F}" name="J2 (-)" dataDxfId="404"/>
    <tableColumn id="28" xr3:uid="{17933077-1FE9-4617-9463-6907362CA156}" name="J2 TOTAL" dataDxfId="403">
      <calculatedColumnFormula>Twirling_Duet_DuetDance_Junior_Lower_Level[[#This Row],[Judge 2
Tihomir Bendelja]]-Twirling_Duet_DuetDance_Junior_Lower_Level[[#This Row],[J2 (-)]]</calculatedColumnFormula>
    </tableColumn>
    <tableColumn id="5" xr3:uid="{AD8CB334-1D40-4E96-AB2E-25780C72F16C}" name="J2 (Rank)" dataDxfId="402">
      <calculatedColumnFormula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Row],[Category]],Twirling_Duet_DuetDance_Junior_Lower_Level[J2 TOTAL],"&gt;"&amp;Twirling_Duet_DuetDance_Junior_Lower_Level[[#This Row],[J2 TOTAL]])+1</calculatedColumnFormula>
    </tableColumn>
    <tableColumn id="17" xr3:uid="{41FC3425-DF47-4283-AF02-CE3E5D25834F}" name="Judge 3_x000a_Tea Softić" dataDxfId="401"/>
    <tableColumn id="35" xr3:uid="{5A0B9F2C-0388-4895-B438-C55982DAAF1B}" name="J3 (-)" dataDxfId="400"/>
    <tableColumn id="30" xr3:uid="{66EB74B6-28B7-43B6-9621-7FA4736D18EA}" name="J3 TOTAL" dataDxfId="399">
      <calculatedColumnFormula>Twirling_Duet_DuetDance_Junior_Lower_Level[[#This Row],[Judge 3
Tea Softić]]-R2</calculatedColumnFormula>
    </tableColumn>
    <tableColumn id="6" xr3:uid="{5A2905B2-99DA-41DB-8B80-DE5EE47AD785}" name="J3 (Rank)" dataDxfId="398">
      <calculatedColumnFormula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Row],[Category]],Twirling_Duet_DuetDance_Junior_Lower_Level[J3 TOTAL],"&gt;"&amp;Twirling_Duet_DuetDance_Junior_Lower_Level[[#This Row],[J3 TOTAL]])+1</calculatedColumnFormula>
    </tableColumn>
    <tableColumn id="18" xr3:uid="{6BBA9B18-0280-4208-B8F3-C526C3BA3A90}" name="Judge 4_x000a_Bernard Barač" dataDxfId="397"/>
    <tableColumn id="36" xr3:uid="{80B920FE-1A05-4EC0-B809-F8ED8F96A6FF}" name="J4 (-)" dataDxfId="396"/>
    <tableColumn id="31" xr3:uid="{443C1200-6513-4C7B-AAC0-6E852BB9ADD8}" name="J4 TOTAL" dataDxfId="395">
      <calculatedColumnFormula>Twirling_Duet_DuetDance_Junior_Lower_Level[[#This Row],[Judge 4
Bernard Barač]]-V2</calculatedColumnFormula>
    </tableColumn>
    <tableColumn id="7" xr3:uid="{79A785D9-C7C0-4FF8-BD6B-563BCE76ECDE}" name="J4 (Rank)" dataDxfId="394">
      <calculatedColumnFormula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Row],[Category]],Twirling_Duet_DuetDance_Junior_Lower_Level[J4 TOTAL],"&gt;"&amp;Twirling_Duet_DuetDance_Junior_Lower_Level[[#This Row],[J4 TOTAL]])+1</calculatedColumnFormula>
    </tableColumn>
    <tableColumn id="12" xr3:uid="{84C6A118-D5B4-4475-886D-E002990B092F}" name="Judge 5_x000a_Barbara Novina" dataDxfId="393"/>
    <tableColumn id="11" xr3:uid="{E61B4BCF-4CFB-47C9-AA88-F3F8C7F7DBA6}" name="J5 (-)" dataDxfId="392"/>
    <tableColumn id="10" xr3:uid="{34DEFC72-FAE2-4903-87FC-65DA320D3C8D}" name="J5 TOTAL" dataDxfId="391">
      <calculatedColumnFormula>Twirling_Duet_DuetDance_Junior_Lower_Level[[#This Row],[Judge 5
Barbara Novina]]-Z2</calculatedColumnFormula>
    </tableColumn>
    <tableColumn id="2" xr3:uid="{5216E5BA-9BB0-41BC-9946-9BB08D97AF0A}" name="J5 (Rank)" dataDxfId="390">
      <calculatedColumnFormula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Row],[Category]],Twirling_Duet_DuetDance_Junior_Lower_Level[J5 TOTAL],"&gt;"&amp;Twirling_Duet_DuetDance_Junior_Lower_Level[[#This Row],[J5 TOTAL]])+1</calculatedColumnFormula>
    </tableColumn>
    <tableColumn id="20" xr3:uid="{15AE2F47-F2BB-4C6D-895C-3EDBC0EEE251}" name="Total" dataDxfId="389">
      <calculatedColumnFormula>SUM(Twirling_Duet_DuetDance_Junior_Lower_Level[[#This Row],[J1 TOTAL]]+Twirling_Duet_DuetDance_Junior_Lower_Level[[#This Row],[J2 TOTAL]]+Twirling_Duet_DuetDance_Junior_Lower_Level[[#This Row],[J3 TOTAL]]+Twirling_Duet_DuetDance_Junior_Lower_Level[[#This Row],[J4 TOTAL]])+Twirling_Duet_DuetDance_Junior_Lower_Level[[#This Row],[J5 TOTAL]]</calculatedColumnFormula>
    </tableColumn>
    <tableColumn id="23" xr3:uid="{0BF9B7AF-DC30-4B19-BA4B-9FABD7BBCF26}" name="Low" dataDxfId="388"/>
    <tableColumn id="19" xr3:uid="{7E83F9D7-5C00-4C25-B349-1F69F9A554E0}" name="High" dataDxfId="387"/>
    <tableColumn id="25" xr3:uid="{C22D03DC-34F2-4282-A1A9-C5F3208370C0}" name="Final Total" dataDxfId="386">
      <calculatedColumnFormula>SUM(Twirling_Duet_DuetDance_Junior_Lower_Level[[#This Row],[Total]]-Twirling_Duet_DuetDance_Junior_Lower_Level[[#This Row],[Low]]-Twirling_Duet_DuetDance_Junior_Lower_Level[[#This Row],[High]])</calculatedColumnFormula>
    </tableColumn>
    <tableColumn id="24" xr3:uid="{7726022B-E265-4A63-A1FB-1E5EB2935DE1}" name="Avg" dataDxfId="385">
      <calculatedColumnFormula>AVERAGE(I2,M2,Q2,U2,Y2)</calculatedColumnFormula>
    </tableColumn>
    <tableColumn id="22" xr3:uid="{1D1C974C-D200-4FD1-99B3-D208AAE07A2E}" name="FINAL SCORE" dataDxfId="384">
      <calculatedColumnFormula>Twirling_Duet_DuetDance_Junior_Lower_Level[[#This Row],[Final Total]]</calculatedColumnFormula>
    </tableColumn>
    <tableColumn id="27" xr3:uid="{4C127574-E0D5-4C32-A68B-84AC479EAC8C}" name="Rank" dataDxfId="383">
      <calculatedColumnFormula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Row],[Category]],Twirling_Duet_DuetDance_Junior_Lower_Level[FINAL SCORE],"&gt;"&amp;Twirling_Duet_DuetDance_Junior_Lower_Level[[#This Row],[FINAL SCORE]])+1</calculatedColumnFormula>
    </tableColumn>
    <tableColumn id="39" xr3:uid="{9C32BD34-417A-42E9-81B7-B5FC2B1F38E9}" name="Category Type" dataDxfId="38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F44A04D-442B-4817-AEC4-F6FA975E9755}" name="Twirling_Duet_DuetDance_Junior_Upper_Level" displayName="Twirling_Duet_DuetDance_Junior_Upper_Level" ref="A1:AJ5" totalsRowShown="0" headerRowDxfId="343" dataDxfId="342">
  <autoFilter ref="A1:AJ5" xr:uid="{042C9DAD-4CB0-4D2A-8C87-3D9863992DF4}"/>
  <sortState xmlns:xlrd2="http://schemas.microsoft.com/office/spreadsheetml/2017/richdata2" ref="A2:AJ5">
    <sortCondition ref="AI1:AI5"/>
  </sortState>
  <tableColumns count="36">
    <tableColumn id="1" xr3:uid="{406013D7-DEAB-4C87-8F77-518A3AAB72D7}" name="Start No." dataDxfId="379"/>
    <tableColumn id="8" xr3:uid="{60872E65-2C35-414E-8A94-806F7B1450D0}" name="Lane" dataDxfId="378"/>
    <tableColumn id="9" xr3:uid="{B8C16897-71FE-4162-9709-97B301FFB8D8}" name="Category" dataDxfId="377"/>
    <tableColumn id="32" xr3:uid="{472B402F-0B44-48BD-B1B3-421A14FD4E69}" name="Age_x000a_Division" dataDxfId="376"/>
    <tableColumn id="40" xr3:uid="{A182BAED-C81E-438B-9518-E7656804B39B}" name="Level" dataDxfId="375"/>
    <tableColumn id="4" xr3:uid="{337ACCE6-2F8A-425C-BA3F-2704658959B5}" name="Athlete" dataDxfId="374"/>
    <tableColumn id="38" xr3:uid="{373DCE49-5C21-46FB-8AC8-3B2E5FDD86F3}" name="Club" dataDxfId="373"/>
    <tableColumn id="37" xr3:uid="{C43168D0-8F32-4D73-8FF7-01EEF949EE11}" name="Country" dataDxfId="372"/>
    <tableColumn id="15" xr3:uid="{A16AC760-42C5-49C2-B13C-AD3C1EB7D2CC}" name="Judge 1_x000a_Tamara Beljak" dataDxfId="371"/>
    <tableColumn id="33" xr3:uid="{A708CC92-F5CF-4ED5-A146-8904BFBF34F8}" name="J1 (-)" dataDxfId="370"/>
    <tableColumn id="26" xr3:uid="{09EAF960-A780-439A-8175-85F927B87A6D}" name="J1 TOTAL" dataDxfId="369">
      <calculatedColumnFormula>Twirling_Duet_DuetDance_Junior_Upper_Level[[#This Row],[Judge 1
Tamara Beljak]]-J2</calculatedColumnFormula>
    </tableColumn>
    <tableColumn id="3" xr3:uid="{B0830A07-E12B-4D1B-8C68-FBB7B3648583}" name="J1 (Rank)" dataDxfId="368">
      <calculatedColumnFormula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Row],[Category]],Twirling_Duet_DuetDance_Junior_Upper_Level[J1 TOTAL],"&gt;"&amp;Twirling_Duet_DuetDance_Junior_Upper_Level[[#This Row],[J1 TOTAL]])+1</calculatedColumnFormula>
    </tableColumn>
    <tableColumn id="16" xr3:uid="{C2C127EE-5E63-4EF3-AF6F-AE622DC16606}" name="Judge 2_x000a_Tihomir Bendelja" dataDxfId="367"/>
    <tableColumn id="34" xr3:uid="{02A569EF-EA47-46E1-B5BB-791861E6DDC1}" name="J2 (-)" dataDxfId="366"/>
    <tableColumn id="28" xr3:uid="{424DF18F-7906-4C40-956F-0371FA415935}" name="J2 TOTAL" dataDxfId="365">
      <calculatedColumnFormula>Twirling_Duet_DuetDance_Junior_Upper_Level[[#This Row],[Judge 2
Tihomir Bendelja]]-Twirling_Duet_DuetDance_Junior_Upper_Level[[#This Row],[J2 (-)]]</calculatedColumnFormula>
    </tableColumn>
    <tableColumn id="5" xr3:uid="{1F701655-A58D-47A1-B4E6-CFCFAD7A289C}" name="J2 (Rank)" dataDxfId="364">
      <calculatedColumnFormula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Row],[Category]],Twirling_Duet_DuetDance_Junior_Upper_Level[J2 TOTAL],"&gt;"&amp;Twirling_Duet_DuetDance_Junior_Upper_Level[[#This Row],[J2 TOTAL]])+1</calculatedColumnFormula>
    </tableColumn>
    <tableColumn id="17" xr3:uid="{5BBEEFB5-2C6E-4311-A719-EF7464F0A14C}" name="Judge 3_x000a_Tea Softić" dataDxfId="363"/>
    <tableColumn id="35" xr3:uid="{DDD79F43-7F10-45D9-87F1-3E88F57E45AA}" name="J3 (-)" dataDxfId="362"/>
    <tableColumn id="30" xr3:uid="{7FF4D3BE-5A7D-4157-8FB6-B8D93979357C}" name="J3 TOTAL" dataDxfId="361">
      <calculatedColumnFormula>Twirling_Duet_DuetDance_Junior_Upper_Level[[#This Row],[Judge 3
Tea Softić]]-R2</calculatedColumnFormula>
    </tableColumn>
    <tableColumn id="6" xr3:uid="{CA8F229E-D10D-48EA-B064-7A897FA78AB7}" name="J3 (Rank)" dataDxfId="360">
      <calculatedColumnFormula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Row],[Category]],Twirling_Duet_DuetDance_Junior_Upper_Level[J3 TOTAL],"&gt;"&amp;Twirling_Duet_DuetDance_Junior_Upper_Level[[#This Row],[J3 TOTAL]])+1</calculatedColumnFormula>
    </tableColumn>
    <tableColumn id="18" xr3:uid="{60DD4192-8B41-47AE-A3B6-703964E3D4C3}" name="Judge 4_x000a_Bernard Barač" dataDxfId="359"/>
    <tableColumn id="36" xr3:uid="{4D570425-6AAC-46E0-8CF9-2B60CB76586B}" name="J4 (-)" dataDxfId="358"/>
    <tableColumn id="31" xr3:uid="{3F872B8A-6F87-449E-937E-F4899CA2CA10}" name="J4 TOTAL" dataDxfId="357">
      <calculatedColumnFormula>Twirling_Duet_DuetDance_Junior_Upper_Level[[#This Row],[Judge 4
Bernard Barač]]-V2</calculatedColumnFormula>
    </tableColumn>
    <tableColumn id="7" xr3:uid="{E7DE2F35-03BA-4282-B4B7-FFB6D5ADE540}" name="J4 (Rank)" dataDxfId="356">
      <calculatedColumnFormula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Row],[Category]],Twirling_Duet_DuetDance_Junior_Upper_Level[J4 TOTAL],"&gt;"&amp;Twirling_Duet_DuetDance_Junior_Upper_Level[[#This Row],[J4 TOTAL]])+1</calculatedColumnFormula>
    </tableColumn>
    <tableColumn id="12" xr3:uid="{BB587708-8B82-4E06-A63A-43CD0FA76F1B}" name="Judge 5_x000a_Barbara Novina" dataDxfId="355"/>
    <tableColumn id="11" xr3:uid="{936150E7-0100-4037-B726-808EE2F65923}" name="J5 (-)" dataDxfId="354"/>
    <tableColumn id="10" xr3:uid="{8601A274-B0A9-4D4D-ACCA-85A3A1B989E1}" name="J5 TOTAL" dataDxfId="353">
      <calculatedColumnFormula>Twirling_Duet_DuetDance_Junior_Upper_Level[[#This Row],[Judge 5
Barbara Novina]]-Y2</calculatedColumnFormula>
    </tableColumn>
    <tableColumn id="2" xr3:uid="{CA72D74B-C6A8-4D62-B2B9-39140C0C7FA9}" name="J5 (Rank)" dataDxfId="352">
      <calculatedColumnFormula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Row],[Category]],Twirling_Duet_DuetDance_Junior_Upper_Level[J5 TOTAL],"&gt;"&amp;Twirling_Duet_DuetDance_Junior_Upper_Level[[#This Row],[J5 TOTAL]])+1</calculatedColumnFormula>
    </tableColumn>
    <tableColumn id="20" xr3:uid="{1140ED42-9D65-407E-865A-FB32460ED493}" name="Total" dataDxfId="351">
      <calculatedColumnFormula>SUM(Twirling_Duet_DuetDance_Junior_Upper_Level[[#This Row],[J1 TOTAL]]+Twirling_Duet_DuetDance_Junior_Upper_Level[[#This Row],[J2 TOTAL]]+Twirling_Duet_DuetDance_Junior_Upper_Level[[#This Row],[J3 TOTAL]]+Twirling_Duet_DuetDance_Junior_Upper_Level[[#This Row],[J4 TOTAL]])+Twirling_Duet_DuetDance_Junior_Upper_Level[[#This Row],[J5 TOTAL]]</calculatedColumnFormula>
    </tableColumn>
    <tableColumn id="23" xr3:uid="{1F38E89C-1A59-41EA-86B4-73790A5E2B8E}" name="Low" dataDxfId="350"/>
    <tableColumn id="19" xr3:uid="{A9DEFF79-0E72-4B21-B0D1-BEE0FECDA8BF}" name="High" dataDxfId="349"/>
    <tableColumn id="25" xr3:uid="{3E9BCE0B-E8BF-4302-B1CF-52ABA52954A4}" name="Final Total" dataDxfId="348">
      <calculatedColumnFormula>SUM(Twirling_Duet_DuetDance_Junior_Upper_Level[[#This Row],[Total]]-Twirling_Duet_DuetDance_Junior_Upper_Level[[#This Row],[Low]]-Twirling_Duet_DuetDance_Junior_Upper_Level[[#This Row],[High]])</calculatedColumnFormula>
    </tableColumn>
    <tableColumn id="24" xr3:uid="{D9CFDC1B-5C86-4A4B-AD0C-A0E930AE4BBE}" name="Avg" dataDxfId="347">
      <calculatedColumnFormula>AVERAGE(I2,M2,Q2,U2,Y2)</calculatedColumnFormula>
    </tableColumn>
    <tableColumn id="22" xr3:uid="{56E6CAA6-A491-4D01-A26D-7EBA3CA6CE6C}" name="FINAL SCORE" dataDxfId="346">
      <calculatedColumnFormula>Twirling_Duet_DuetDance_Junior_Upper_Level[[#This Row],[Final Total]]</calculatedColumnFormula>
    </tableColumn>
    <tableColumn id="27" xr3:uid="{598094A0-EFA5-484E-ADF3-B2D06C1DC10D}" name="Rank" dataDxfId="345">
      <calculatedColumnFormula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Row],[Category]],Twirling_Duet_DuetDance_Junior_Upper_Level[FINAL SCORE],"&gt;"&amp;Twirling_Duet_DuetDance_Junior_Upper_Level[[#This Row],[FINAL SCORE]])+1</calculatedColumnFormula>
    </tableColumn>
    <tableColumn id="39" xr3:uid="{DD822EE3-F0C2-43CA-84EB-1BA3B11AAFFB}" name="Category Type" dataDxfId="344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D70E9A86-9301-4F82-9D8A-B968EB3C85D0}" name="Twirling_Duet_DuetDance_Senior_Lower_Level" displayName="Twirling_Duet_DuetDance_Senior_Lower_Level" ref="A1:AJ4" totalsRowShown="0" headerRowDxfId="305" dataDxfId="304">
  <autoFilter ref="A1:AJ4" xr:uid="{042C9DAD-4CB0-4D2A-8C87-3D9863992DF4}"/>
  <sortState xmlns:xlrd2="http://schemas.microsoft.com/office/spreadsheetml/2017/richdata2" ref="A2:AJ4">
    <sortCondition ref="AI1:AI4"/>
  </sortState>
  <tableColumns count="36">
    <tableColumn id="1" xr3:uid="{2C8ABC2F-C205-47F5-B0C8-702F81D5BE75}" name="Start No." dataDxfId="341"/>
    <tableColumn id="8" xr3:uid="{A2105E65-EDF9-44CD-B122-497322000590}" name="Lane" dataDxfId="340"/>
    <tableColumn id="9" xr3:uid="{3D9D0097-3589-42B2-83C7-FC13863F42B1}" name="Category" dataDxfId="339"/>
    <tableColumn id="32" xr3:uid="{AA0B828B-9222-4B3B-955D-DCA48B29CCAA}" name="Age_x000a_Division" dataDxfId="338"/>
    <tableColumn id="40" xr3:uid="{127591BE-15F9-4914-8DE5-33B2905B7884}" name="Level" dataDxfId="337"/>
    <tableColumn id="4" xr3:uid="{04582799-0DB6-4B09-9752-A4CC1FAD193A}" name="Athlete" dataDxfId="336"/>
    <tableColumn id="38" xr3:uid="{6692FEF0-9E4B-46E8-91C1-F303E2DCA713}" name="Club" dataDxfId="335"/>
    <tableColumn id="37" xr3:uid="{6C372CB2-65DC-47A8-A596-44E85AD7163E}" name="Country" dataDxfId="334"/>
    <tableColumn id="15" xr3:uid="{711B6CA6-F8FB-427F-B58E-6ECC6AE52286}" name="Judge 1_x000a_Tamara Beljak" dataDxfId="333"/>
    <tableColumn id="33" xr3:uid="{D3853E8B-1D04-41B5-BE60-5567422456A3}" name="J1 (-)" dataDxfId="332"/>
    <tableColumn id="26" xr3:uid="{730B0FD1-CC9A-4440-9E03-B21BBC51ADC0}" name="J1 TOTAL" dataDxfId="331">
      <calculatedColumnFormula>Twirling_Duet_DuetDance_Senior_Lower_Level[[#This Row],[Judge 1
Tamara Beljak]]-J2</calculatedColumnFormula>
    </tableColumn>
    <tableColumn id="3" xr3:uid="{3EA991BA-63D0-446B-B232-A6763CC89027}" name="J1 (Rank)" dataDxfId="330">
      <calculatedColumnFormula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Row],[Category]],Twirling_Duet_DuetDance_Senior_Lower_Level[J1 TOTAL],"&gt;"&amp;Twirling_Duet_DuetDance_Senior_Lower_Level[[#This Row],[J1 TOTAL]])+1</calculatedColumnFormula>
    </tableColumn>
    <tableColumn id="16" xr3:uid="{C7DC1274-686A-45F1-B12B-1A3B85F8FAB4}" name="Judge 2_x000a_Tihomir Bendelja" dataDxfId="329"/>
    <tableColumn id="34" xr3:uid="{028BF022-35E9-4B2C-8BC7-FAFC77D47228}" name="J2 (-)" dataDxfId="328"/>
    <tableColumn id="28" xr3:uid="{8D6A078B-32CA-436C-B045-51F0C6E0A386}" name="J2 TOTAL" dataDxfId="327">
      <calculatedColumnFormula>Twirling_Duet_DuetDance_Senior_Lower_Level[[#This Row],[Judge 2
Tihomir Bendelja]]-Twirling_Duet_DuetDance_Senior_Lower_Level[[#This Row],[J2 (-)]]</calculatedColumnFormula>
    </tableColumn>
    <tableColumn id="5" xr3:uid="{C249D3CA-F59A-4D88-AAEC-367A280BAD06}" name="J2 (Rank)" dataDxfId="326">
      <calculatedColumnFormula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Row],[Category]],Twirling_Duet_DuetDance_Senior_Lower_Level[J2 TOTAL],"&gt;"&amp;Twirling_Duet_DuetDance_Senior_Lower_Level[[#This Row],[J2 TOTAL]])+1</calculatedColumnFormula>
    </tableColumn>
    <tableColumn id="17" xr3:uid="{913ABDF5-974A-4A9B-919F-8B889FC3E2FC}" name="Judge 3_x000a_Tea Softić" dataDxfId="325"/>
    <tableColumn id="35" xr3:uid="{3925CEFB-60C1-498E-95B6-6AF916B8B5EB}" name="J3 (-)" dataDxfId="324"/>
    <tableColumn id="30" xr3:uid="{BD9F5454-898E-429F-824D-4DC56DA38F4C}" name="J3 TOTAL" dataDxfId="323">
      <calculatedColumnFormula>Twirling_Duet_DuetDance_Senior_Lower_Level[[#This Row],[Judge 3
Tea Softić]]-R2</calculatedColumnFormula>
    </tableColumn>
    <tableColumn id="6" xr3:uid="{C1DE1E4B-1545-4F9E-B2B1-65BEE0586B98}" name="J3 (Rank)" dataDxfId="322">
      <calculatedColumnFormula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Row],[Category]],Twirling_Duet_DuetDance_Senior_Lower_Level[J3 TOTAL],"&gt;"&amp;Twirling_Duet_DuetDance_Senior_Lower_Level[[#This Row],[J3 TOTAL]])+1</calculatedColumnFormula>
    </tableColumn>
    <tableColumn id="18" xr3:uid="{B1DF7901-6CB5-4D0F-A941-E67F9CB573C2}" name="Judge 4_x000a_Bernard Barač" dataDxfId="321"/>
    <tableColumn id="36" xr3:uid="{72E4A914-0E16-4947-8506-6DCCC3A6C893}" name="J4 (-)" dataDxfId="320"/>
    <tableColumn id="31" xr3:uid="{5602E3B9-140E-495D-A6B9-02BEEC688A29}" name="J4 TOTAL" dataDxfId="319">
      <calculatedColumnFormula>Twirling_Duet_DuetDance_Senior_Lower_Level[[#This Row],[Judge 4
Bernard Barač]]-V2</calculatedColumnFormula>
    </tableColumn>
    <tableColumn id="7" xr3:uid="{299BF9DC-0CFF-4703-91E6-4478632FE262}" name="J4 (Rank)" dataDxfId="318">
      <calculatedColumnFormula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Row],[Category]],Twirling_Duet_DuetDance_Senior_Lower_Level[J4 TOTAL],"&gt;"&amp;Twirling_Duet_DuetDance_Senior_Lower_Level[[#This Row],[J4 TOTAL]])+1</calculatedColumnFormula>
    </tableColumn>
    <tableColumn id="12" xr3:uid="{FE6F5E31-5624-4A2A-A20D-7DF1F81FCE40}" name="Judge 5_x000a_Barbara Novina" dataDxfId="317"/>
    <tableColumn id="11" xr3:uid="{785DA0B2-F0AB-49D0-9B1B-4A746283825D}" name="J5 (-)" dataDxfId="316"/>
    <tableColumn id="10" xr3:uid="{9869DA3C-5AFC-4DCB-8214-9EDABE5DF963}" name="J5 TOTAL" dataDxfId="315">
      <calculatedColumnFormula>Twirling_Duet_DuetDance_Senior_Lower_Level[[#This Row],[Judge 5
Barbara Novina]]-Z2</calculatedColumnFormula>
    </tableColumn>
    <tableColumn id="2" xr3:uid="{438C9FA9-709C-4590-AA50-559808E04F31}" name="J5 (Rank)" dataDxfId="314">
      <calculatedColumnFormula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Row],[Category]],Twirling_Duet_DuetDance_Senior_Lower_Level[J5 TOTAL],"&gt;"&amp;Twirling_Duet_DuetDance_Senior_Lower_Level[[#This Row],[J5 TOTAL]])+1</calculatedColumnFormula>
    </tableColumn>
    <tableColumn id="20" xr3:uid="{ABED3309-58E1-45A9-96D2-721D3AA8F514}" name="Total" dataDxfId="313">
      <calculatedColumnFormula>SUM(Twirling_Duet_DuetDance_Senior_Lower_Level[[#This Row],[J1 TOTAL]]+Twirling_Duet_DuetDance_Senior_Lower_Level[[#This Row],[J2 TOTAL]]+Twirling_Duet_DuetDance_Senior_Lower_Level[[#This Row],[J3 TOTAL]]+Twirling_Duet_DuetDance_Senior_Lower_Level[[#This Row],[J4 TOTAL]])+Twirling_Duet_DuetDance_Senior_Lower_Level[[#This Row],[J5 TOTAL]]</calculatedColumnFormula>
    </tableColumn>
    <tableColumn id="23" xr3:uid="{9BC84985-6A75-4606-B47C-21332C9BC411}" name="Low" dataDxfId="312"/>
    <tableColumn id="19" xr3:uid="{CD87BC77-0089-48EF-AF8E-0F79E0DA6571}" name="High" dataDxfId="311"/>
    <tableColumn id="25" xr3:uid="{B16A5C3C-7AD1-4921-9D6F-5230138F8DAA}" name="Final Total" dataDxfId="310">
      <calculatedColumnFormula>SUM(Twirling_Duet_DuetDance_Senior_Lower_Level[[#This Row],[Total]]-Twirling_Duet_DuetDance_Senior_Lower_Level[[#This Row],[Low]]-Twirling_Duet_DuetDance_Senior_Lower_Level[[#This Row],[High]])</calculatedColumnFormula>
    </tableColumn>
    <tableColumn id="24" xr3:uid="{2B75AE16-FD24-4A0B-8AFB-B24548DD1665}" name="Avg" dataDxfId="309">
      <calculatedColumnFormula>AVERAGE(I2,M2,Q2,U2,Y2)</calculatedColumnFormula>
    </tableColumn>
    <tableColumn id="22" xr3:uid="{CB52FDA7-A6D0-4463-AC9D-4F9B3C850240}" name="FINAL SCORE" dataDxfId="308">
      <calculatedColumnFormula>Twirling_Duet_DuetDance_Senior_Lower_Level[[#This Row],[Final Total]]</calculatedColumnFormula>
    </tableColumn>
    <tableColumn id="27" xr3:uid="{8A4E5D54-D40C-4503-B354-677F3165DCC7}" name="Rank" dataDxfId="307">
      <calculatedColumnFormula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Row],[Category]],Twirling_Duet_DuetDance_Senior_Lower_Level[FINAL SCORE],"&gt;"&amp;Twirling_Duet_DuetDance_Senior_Lower_Level[[#This Row],[FINAL SCORE]])+1</calculatedColumnFormula>
    </tableColumn>
    <tableColumn id="39" xr3:uid="{5F139210-5768-4236-88BD-9FA56DDEEE17}" name="Category Type" dataDxfId="306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8AFCF09-E739-4B65-B654-3A3FD536DE53}" name="Twirling_Group_TwirlingTeam_Children" displayName="Twirling_Group_TwirlingTeam_Children" ref="A1:AJ2" totalsRowShown="0" headerRowDxfId="267" dataDxfId="266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217B2FFE-5EE5-44C9-8CD2-073DCD167D73}" name="Start No." dataDxfId="303"/>
    <tableColumn id="8" xr3:uid="{79BDA25E-C6D5-4C89-909C-97C502381B8D}" name="Lane" dataDxfId="302"/>
    <tableColumn id="9" xr3:uid="{44F6A91E-11F7-4DF3-ACAF-DBEEED896E17}" name="Category" dataDxfId="301"/>
    <tableColumn id="32" xr3:uid="{0B1F43E6-311F-481C-9DEA-AFB859594CC7}" name="Age_x000a_Division" dataDxfId="300"/>
    <tableColumn id="40" xr3:uid="{3751D808-F86C-4B76-B001-B33A21E72CAC}" name="Level" dataDxfId="299"/>
    <tableColumn id="4" xr3:uid="{58E14AB1-AF2B-4D3D-A4E9-64522D22FA4D}" name="Athlete" dataDxfId="298"/>
    <tableColumn id="38" xr3:uid="{E9AE7451-91FB-4843-8AB7-66CBBF16818F}" name="Club" dataDxfId="297"/>
    <tableColumn id="37" xr3:uid="{6BE43F13-6478-4032-BD72-0F0383AEC280}" name="Country" dataDxfId="296"/>
    <tableColumn id="15" xr3:uid="{55EFCF6C-3680-4023-B416-22F2ED3694F0}" name="Judge 1_x000a_Tamara Beljak" dataDxfId="295"/>
    <tableColumn id="33" xr3:uid="{59C57D7D-83BE-4C39-A622-2CEA73FC8489}" name="J1 (-)" dataDxfId="294"/>
    <tableColumn id="26" xr3:uid="{7AA2DED5-0E22-4129-8088-D13F24591FB6}" name="J1 TOTAL" dataDxfId="293">
      <calculatedColumnFormula>Twirling_Group_TwirlingTeam_Children[[#This Row],[Judge 1
Tamara Beljak]]-J2</calculatedColumnFormula>
    </tableColumn>
    <tableColumn id="3" xr3:uid="{44638A28-C406-45FD-8C29-0BCF0E501CCB}" name="J1 (Rank)" dataDxfId="292">
      <calculatedColumnFormula>COUNTIFS(Twirling_Group_TwirlingTeam_Children[Age
Division],Twirling_Group_TwirlingTeam_Children[[#This Row],[Age
Division]],Twirling_Group_TwirlingTeam_Children[Category],Twirling_Group_TwirlingTeam_Children[[#This Row],[Category]],Twirling_Group_TwirlingTeam_Children[J1 TOTAL],"&gt;"&amp;Twirling_Group_TwirlingTeam_Children[[#This Row],[J1 TOTAL]])+1</calculatedColumnFormula>
    </tableColumn>
    <tableColumn id="16" xr3:uid="{992914ED-B8DA-41BF-AC5C-92D77B22BCFC}" name="Judge 2_x000a_Tihomir Bendelja" dataDxfId="291"/>
    <tableColumn id="34" xr3:uid="{C117FF2F-D2D8-4D36-BC24-C38CF48E8309}" name="J2 (-)" dataDxfId="290"/>
    <tableColumn id="28" xr3:uid="{E1459A1A-0893-45BF-9F7A-A678738E6D9C}" name="J2 TOTAL" dataDxfId="289">
      <calculatedColumnFormula>Twirling_Group_TwirlingTeam_Children[[#This Row],[Judge 2
Tihomir Bendelja]]-Twirling_Group_TwirlingTeam_Children[[#This Row],[J2 (-)]]</calculatedColumnFormula>
    </tableColumn>
    <tableColumn id="5" xr3:uid="{C8CBD0F2-768E-4DDD-8CF3-079AD15FB3AB}" name="J2 (Rank)" dataDxfId="288">
      <calculatedColumnFormula>COUNTIFS(Twirling_Group_TwirlingTeam_Children[Age
Division],Twirling_Group_TwirlingTeam_Children[[#This Row],[Age
Division]],Twirling_Group_TwirlingTeam_Children[Category],Twirling_Group_TwirlingTeam_Children[[#This Row],[Category]],Twirling_Group_TwirlingTeam_Children[J2 TOTAL],"&gt;"&amp;Twirling_Group_TwirlingTeam_Children[[#This Row],[J2 TOTAL]])+1</calculatedColumnFormula>
    </tableColumn>
    <tableColumn id="17" xr3:uid="{9298E0ED-9B9F-4A29-8776-9A3B655A913B}" name="Judge 3_x000a_Tea Softić" dataDxfId="287"/>
    <tableColumn id="35" xr3:uid="{8231EFB8-0518-4B3D-951E-6925F3FDDC03}" name="J3 (-)" dataDxfId="286"/>
    <tableColumn id="30" xr3:uid="{D8FBBBC4-7319-45F5-A5C6-16538439B408}" name="J3 TOTAL" dataDxfId="285">
      <calculatedColumnFormula>Twirling_Group_TwirlingTeam_Children[[#This Row],[Judge 3
Tea Softić]]-R2</calculatedColumnFormula>
    </tableColumn>
    <tableColumn id="6" xr3:uid="{4AC76478-E917-462A-9A2B-AF4706AB9BF9}" name="J3 (Rank)" dataDxfId="284">
      <calculatedColumnFormula>COUNTIFS(Twirling_Group_TwirlingTeam_Children[Age
Division],Twirling_Group_TwirlingTeam_Children[[#This Row],[Age
Division]],Twirling_Group_TwirlingTeam_Children[Category],Twirling_Group_TwirlingTeam_Children[[#This Row],[Category]],Twirling_Group_TwirlingTeam_Children[J3 TOTAL],"&gt;"&amp;Twirling_Group_TwirlingTeam_Children[[#This Row],[J3 TOTAL]])+1</calculatedColumnFormula>
    </tableColumn>
    <tableColumn id="18" xr3:uid="{C49923B6-06A4-4D2F-BA6E-4148EEF310D8}" name="Judge 4_x000a_Bernard Barač" dataDxfId="283"/>
    <tableColumn id="36" xr3:uid="{749D7CB0-61CD-4CE4-A63B-DBCEAE296C5A}" name="J4 (-)" dataDxfId="282"/>
    <tableColumn id="31" xr3:uid="{DEBDF0D6-CB39-4E40-80DF-510B50DFB8B9}" name="J4 TOTAL" dataDxfId="281">
      <calculatedColumnFormula>Twirling_Group_TwirlingTeam_Children[[#This Row],[Judge 4
Bernard Barač]]-V2</calculatedColumnFormula>
    </tableColumn>
    <tableColumn id="7" xr3:uid="{F87406AC-10D6-4188-9677-72933146CB95}" name="J4 (Rank)" dataDxfId="280">
      <calculatedColumnFormula>COUNTIFS(Twirling_Group_TwirlingTeam_Children[Age
Division],Twirling_Group_TwirlingTeam_Children[[#This Row],[Age
Division]],Twirling_Group_TwirlingTeam_Children[Category],Twirling_Group_TwirlingTeam_Children[[#This Row],[Category]],Twirling_Group_TwirlingTeam_Children[J4 TOTAL],"&gt;"&amp;Twirling_Group_TwirlingTeam_Children[[#This Row],[J4 TOTAL]])+1</calculatedColumnFormula>
    </tableColumn>
    <tableColumn id="12" xr3:uid="{D31DACD9-EAD9-41C6-8B09-181805B2BDE7}" name="Judge 5_x000a_Barbara Novina" dataDxfId="279"/>
    <tableColumn id="11" xr3:uid="{8D8D21C1-AD5D-4196-A7A8-27BC6F503A36}" name="J5 (-)" dataDxfId="278"/>
    <tableColumn id="10" xr3:uid="{C6C5EACB-2CD8-4EA3-B629-5C0BCD8588DD}" name="J5 TOTAL" dataDxfId="277">
      <calculatedColumnFormula>Twirling_Group_TwirlingTeam_Children[[#This Row],[Judge 5
Barbara Novina]]-Z2</calculatedColumnFormula>
    </tableColumn>
    <tableColumn id="2" xr3:uid="{2CECE87D-1263-474F-87F8-867F646455FD}" name="J5 (Rank)" dataDxfId="276">
      <calculatedColumnFormula>COUNTIFS(Twirling_Group_TwirlingTeam_Children[Age
Division],Twirling_Group_TwirlingTeam_Children[[#This Row],[Age
Division]],Twirling_Group_TwirlingTeam_Children[Category],Twirling_Group_TwirlingTeam_Children[[#This Row],[Category]],Twirling_Group_TwirlingTeam_Children[J5 TOTAL],"&gt;"&amp;Twirling_Group_TwirlingTeam_Children[[#This Row],[J5 TOTAL]])+1</calculatedColumnFormula>
    </tableColumn>
    <tableColumn id="20" xr3:uid="{2A4F1237-D31F-4ECA-929E-728A8E0C5E32}" name="Total" dataDxfId="275">
      <calculatedColumnFormula>SUM(Twirling_Group_TwirlingTeam_Children[[#This Row],[J1 TOTAL]]+Twirling_Group_TwirlingTeam_Children[[#This Row],[J2 TOTAL]]+Twirling_Group_TwirlingTeam_Children[[#This Row],[J3 TOTAL]]+Twirling_Group_TwirlingTeam_Children[[#This Row],[J4 TOTAL]])+Twirling_Group_TwirlingTeam_Children[[#This Row],[J5 TOTAL]]</calculatedColumnFormula>
    </tableColumn>
    <tableColumn id="23" xr3:uid="{999DE065-AF65-4BE6-BF53-3B5FA29476E3}" name="Low" dataDxfId="274">
      <calculatedColumnFormula>MIN(Twirling_Group_TwirlingTeam_Children[[#This Row],[J1 TOTAL]],Twirling_Group_TwirlingTeam_Children[[#This Row],[J3 TOTAL]],Twirling_Group_TwirlingTeam_Children[[#This Row],[J4 TOTAL]],Twirling_Group_TwirlingTeam_Children[[#This Row],[J5 TOTAL]])</calculatedColumnFormula>
    </tableColumn>
    <tableColumn id="19" xr3:uid="{A2B813E6-0C60-47CF-8723-EC1E83291AFB}" name="High" dataDxfId="273">
      <calculatedColumnFormula>MAX(Twirling_Group_TwirlingTeam_Children[[#This Row],[J1 TOTAL]],Twirling_Group_TwirlingTeam_Children[[#This Row],[J2 TOTAL]],Twirling_Group_TwirlingTeam_Children[[#This Row],[J3 TOTAL]],Twirling_Group_TwirlingTeam_Children[[#This Row],[J4 TOTAL]],Twirling_Group_TwirlingTeam_Children[[#This Row],[J5 TOTAL]])</calculatedColumnFormula>
    </tableColumn>
    <tableColumn id="25" xr3:uid="{800ABFB2-F46E-45F3-B052-72FF418AD3D5}" name="Final Total" dataDxfId="272">
      <calculatedColumnFormula>SUM(Twirling_Group_TwirlingTeam_Children[[#This Row],[Total]]-Twirling_Group_TwirlingTeam_Children[[#This Row],[Low]]-Twirling_Group_TwirlingTeam_Children[[#This Row],[High]])</calculatedColumnFormula>
    </tableColumn>
    <tableColumn id="24" xr3:uid="{5EF048B4-ACFE-44B3-8D6D-B1338DB978B4}" name="Avg" dataDxfId="271">
      <calculatedColumnFormula>AVERAGE(I2,M2,Q2,U2,Y2)</calculatedColumnFormula>
    </tableColumn>
    <tableColumn id="22" xr3:uid="{47250589-A396-4A37-BAAA-57683319B87E}" name="FINAL SCORE" dataDxfId="270">
      <calculatedColumnFormula>Twirling_Group_TwirlingTeam_Children[[#This Row],[Final Total]]</calculatedColumnFormula>
    </tableColumn>
    <tableColumn id="27" xr3:uid="{6F43D1A1-A9C1-4707-B839-E319B300902A}" name="Rank" dataDxfId="269">
      <calculatedColumnFormula>COUNTIFS(Twirling_Group_TwirlingTeam_Children[Age
Division],Twirling_Group_TwirlingTeam_Children[[#This Row],[Age
Division]],Twirling_Group_TwirlingTeam_Children[Category],Twirling_Group_TwirlingTeam_Children[[#This Row],[Category]],Twirling_Group_TwirlingTeam_Children[FINAL SCORE],"&gt;"&amp;Twirling_Group_TwirlingTeam_Children[[#This Row],[FINAL SCORE]])+1</calculatedColumnFormula>
    </tableColumn>
    <tableColumn id="39" xr3:uid="{78643874-BC56-4992-AFF3-39AA2C1EC731}" name="Category Type" dataDxfId="26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BE68D3D-CA7E-4706-8834-4860F6D18A2F}" name="Twirling_Solo_F1B_Junior_Beginner" displayName="Twirling_Solo_F1B_Junior_Beginner" ref="A1:AJ3" totalsRowShown="0" headerRowDxfId="1255" dataDxfId="1254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F8941C1A-2F13-47EC-B32A-AC69CE7324CC}" name="Start No." dataDxfId="1291"/>
    <tableColumn id="8" xr3:uid="{1FF87499-A905-4B10-B09B-2459E8FB3211}" name="Lane" dataDxfId="1290"/>
    <tableColumn id="9" xr3:uid="{8C8F3D1B-11C6-4E78-A178-F033EB40DFB2}" name="Category" dataDxfId="1289"/>
    <tableColumn id="32" xr3:uid="{6763B8F0-1A86-4F97-A023-285CE0B92B95}" name="Age_x000a_Division" dataDxfId="1288"/>
    <tableColumn id="40" xr3:uid="{ACACE3B5-C0CA-4163-A2D2-ED3C5EFA4576}" name="Level" dataDxfId="1287"/>
    <tableColumn id="4" xr3:uid="{F11C9E0A-CD9E-4BEE-98F4-5548250F3738}" name="Athlete" dataDxfId="1286"/>
    <tableColumn id="38" xr3:uid="{E2A3A047-C9F9-4C48-9BA9-917848220B47}" name="Club" dataDxfId="1285"/>
    <tableColumn id="37" xr3:uid="{E98DCBEC-0138-47DD-9A9F-94B407A06478}" name="Country" dataDxfId="1284"/>
    <tableColumn id="15" xr3:uid="{C42AC18F-453F-4597-8C5C-A1B85C0ED99E}" name="Judge 1_x000a_Tamara Beljak" dataDxfId="1283"/>
    <tableColumn id="33" xr3:uid="{E97204C3-624A-4F54-98AE-776CFC583BF6}" name="J1 (-)" dataDxfId="1282"/>
    <tableColumn id="26" xr3:uid="{1DC4C131-6743-4205-9F50-130C72FD5596}" name="J1 TOTAL" dataDxfId="1281">
      <calculatedColumnFormula>Twirling_Solo_F1B_Junior_Beginner[[#This Row],[Judge 1
Tamara Beljak]]-J2</calculatedColumnFormula>
    </tableColumn>
    <tableColumn id="3" xr3:uid="{659387EE-A4F8-4D3E-9D02-C2A0C47A0D25}" name="J1 (Rank)" dataDxfId="1280">
      <calculatedColumnFormula>COUNTIFS(Twirling_Solo_F1B_Junior_Beginner[Age
Division],Twirling_Solo_F1B_Junior_Beginner[[#This Row],[Age
Division]],Twirling_Solo_F1B_Junior_Beginner[Category],Twirling_Solo_F1B_Junior_Beginner[[#This Row],[Category]],Twirling_Solo_F1B_Junior_Beginner[J1 TOTAL],"&gt;"&amp;Twirling_Solo_F1B_Junior_Beginner[[#This Row],[J1 TOTAL]])+1</calculatedColumnFormula>
    </tableColumn>
    <tableColumn id="16" xr3:uid="{35BEF817-6A0B-41BD-9DEF-6EEF2314B52B}" name="Judge 2_x000a_Tihomir Bendelja" dataDxfId="1279"/>
    <tableColumn id="34" xr3:uid="{DC7574A8-0332-4E75-8800-F705C584817E}" name="J2 (-)" dataDxfId="1278"/>
    <tableColumn id="28" xr3:uid="{80521DE7-E6DF-4C4A-BA19-9F50CF03D41A}" name="J2 TOTAL" dataDxfId="1277">
      <calculatedColumnFormula>Twirling_Solo_F1B_Junior_Beginner[[#This Row],[Judge 2
Tihomir Bendelja]]-Twirling_Solo_F1B_Junior_Beginner[[#This Row],[J2 (-)]]</calculatedColumnFormula>
    </tableColumn>
    <tableColumn id="5" xr3:uid="{CA642D91-1EC2-44D8-B1DF-3B0FD6C78153}" name="J2 (Rank)" dataDxfId="1276">
      <calculatedColumnFormula>COUNTIFS(Twirling_Solo_F1B_Junior_Beginner[Age
Division],Twirling_Solo_F1B_Junior_Beginner[[#This Row],[Age
Division]],Twirling_Solo_F1B_Junior_Beginner[Category],Twirling_Solo_F1B_Junior_Beginner[[#This Row],[Category]],Twirling_Solo_F1B_Junior_Beginner[J2 TOTAL],"&gt;"&amp;Twirling_Solo_F1B_Junior_Beginner[[#This Row],[J2 TOTAL]])+1</calculatedColumnFormula>
    </tableColumn>
    <tableColumn id="17" xr3:uid="{E3DBC552-FBCB-460F-8692-B5DCFA0B91FA}" name="Judge 3_x000a_Tea Softić" dataDxfId="1275"/>
    <tableColumn id="35" xr3:uid="{08B66C14-1312-44FC-A10D-0F1A6D50DD32}" name="J3 (-)" dataDxfId="1274"/>
    <tableColumn id="30" xr3:uid="{6D3EDD9E-85AC-4131-8E31-2904449ED902}" name="J3 TOTAL" dataDxfId="1273">
      <calculatedColumnFormula>Twirling_Solo_F1B_Junior_Beginner[[#This Row],[Judge 3
Tea Softić]]-R2</calculatedColumnFormula>
    </tableColumn>
    <tableColumn id="6" xr3:uid="{60C7E36E-5D95-4118-8244-5890B13D78C7}" name="J3 (Rank)" dataDxfId="1272">
      <calculatedColumnFormula>COUNTIFS(Twirling_Solo_F1B_Junior_Beginner[Age
Division],Twirling_Solo_F1B_Junior_Beginner[[#This Row],[Age
Division]],Twirling_Solo_F1B_Junior_Beginner[Category],Twirling_Solo_F1B_Junior_Beginner[[#This Row],[Category]],Twirling_Solo_F1B_Junior_Beginner[J3 TOTAL],"&gt;"&amp;Twirling_Solo_F1B_Junior_Beginner[[#This Row],[J3 TOTAL]])+1</calculatedColumnFormula>
    </tableColumn>
    <tableColumn id="18" xr3:uid="{66711490-3434-447A-990C-E801880AF87A}" name="Judge 4_x000a_Bernard Barač" dataDxfId="1271"/>
    <tableColumn id="36" xr3:uid="{9984863D-994E-4B9A-873E-EFFEC4FD8C45}" name="J4 (-)" dataDxfId="1270"/>
    <tableColumn id="31" xr3:uid="{3DCE7C76-41AC-4510-95E8-7324462C4D1A}" name="J4 TOTAL" dataDxfId="1269">
      <calculatedColumnFormula>Twirling_Solo_F1B_Junior_Beginner[[#This Row],[Judge 4
Bernard Barač]]-V2</calculatedColumnFormula>
    </tableColumn>
    <tableColumn id="7" xr3:uid="{AC78EF29-4AAC-4F01-B8FE-A7A2A2626E36}" name="J4 (Rank)" dataDxfId="1268">
      <calculatedColumnFormula>COUNTIFS(Twirling_Solo_F1B_Junior_Beginner[Age
Division],Twirling_Solo_F1B_Junior_Beginner[[#This Row],[Age
Division]],Twirling_Solo_F1B_Junior_Beginner[Category],Twirling_Solo_F1B_Junior_Beginner[[#This Row],[Category]],Twirling_Solo_F1B_Junior_Beginner[J4 TOTAL],"&gt;"&amp;Twirling_Solo_F1B_Junior_Beginner[[#This Row],[J4 TOTAL]])+1</calculatedColumnFormula>
    </tableColumn>
    <tableColumn id="12" xr3:uid="{9EE4A83A-C5EA-4CF1-A7D8-077C87DBBF97}" name="Judge 5_x000a_Barbara Novina" dataDxfId="1267"/>
    <tableColumn id="11" xr3:uid="{9BDDE32C-DCEA-49E1-9D00-E0AAC89170B7}" name="J5 (-)" dataDxfId="1266"/>
    <tableColumn id="10" xr3:uid="{026C912A-29CA-4575-A4F3-48A65EDA9A2E}" name="J5 TOTAL" dataDxfId="1265">
      <calculatedColumnFormula>Twirling_Solo_F1B_Junior_Beginner[[#This Row],[Judge 5
Barbara Novina]]-Z2</calculatedColumnFormula>
    </tableColumn>
    <tableColumn id="2" xr3:uid="{7F1276A6-416B-4018-9F54-073BB549C260}" name="J5 (Rank)" dataDxfId="1264">
      <calculatedColumnFormula>COUNTIFS(Twirling_Solo_F1B_Junior_Beginner[Age
Division],Twirling_Solo_F1B_Junior_Beginner[[#This Row],[Age
Division]],Twirling_Solo_F1B_Junior_Beginner[Category],Twirling_Solo_F1B_Junior_Beginner[[#This Row],[Category]],Twirling_Solo_F1B_Junior_Beginner[J5 TOTAL],"&gt;"&amp;Twirling_Solo_F1B_Junior_Beginner[[#This Row],[J5 TOTAL]])+1</calculatedColumnFormula>
    </tableColumn>
    <tableColumn id="20" xr3:uid="{18496E0D-746B-4FB5-AD4E-1846689FE5E8}" name="Total" dataDxfId="1263">
      <calculatedColumnFormula>SUM(Twirling_Solo_F1B_Junior_Beginner[[#This Row],[J1 TOTAL]]+Twirling_Solo_F1B_Junior_Beginner[[#This Row],[J2 TOTAL]]+Twirling_Solo_F1B_Junior_Beginner[[#This Row],[J3 TOTAL]]+Twirling_Solo_F1B_Junior_Beginner[[#This Row],[J4 TOTAL]])+Twirling_Solo_F1B_Junior_Beginner[[#This Row],[J5 TOTAL]]</calculatedColumnFormula>
    </tableColumn>
    <tableColumn id="23" xr3:uid="{39487C08-94F1-4203-8DD0-254AF042066C}" name="Low" dataDxfId="1262"/>
    <tableColumn id="19" xr3:uid="{E87759EB-3E70-49AA-86A1-408803F1EC7D}" name="High" dataDxfId="1261"/>
    <tableColumn id="25" xr3:uid="{FDDC5FCE-61E5-4270-907B-9D0A13A77ADB}" name="Final Total" dataDxfId="1260">
      <calculatedColumnFormula>SUM(Twirling_Solo_F1B_Junior_Beginner[[#This Row],[Total]]-Twirling_Solo_F1B_Junior_Beginner[[#This Row],[Low]]-Twirling_Solo_F1B_Junior_Beginner[[#This Row],[High]])</calculatedColumnFormula>
    </tableColumn>
    <tableColumn id="24" xr3:uid="{E210AEE8-7F9D-4E56-869F-CCB3FDF4923D}" name="Avg" dataDxfId="1259">
      <calculatedColumnFormula>AVERAGE(I2,M2,Q2,U2,Y2)</calculatedColumnFormula>
    </tableColumn>
    <tableColumn id="22" xr3:uid="{EC158A90-A3D8-4E5C-A99B-E3C8C6B08C6D}" name="FINAL SCORE" dataDxfId="1258">
      <calculatedColumnFormula>Twirling_Solo_F1B_Junior_Beginner[[#This Row],[Final Total]]</calculatedColumnFormula>
    </tableColumn>
    <tableColumn id="27" xr3:uid="{85C35778-80E6-4DB7-B3DD-AC1DFED79679}" name="Rank" dataDxfId="1257">
      <calculatedColumnFormula>COUNTIFS(Twirling_Solo_F1B_Junior_Beginner[Age
Division],Twirling_Solo_F1B_Junior_Beginner[[#This Row],[Age
Division]],Twirling_Solo_F1B_Junior_Beginner[Category],Twirling_Solo_F1B_Junior_Beginner[[#This Row],[Category]],Twirling_Solo_F1B_Junior_Beginner[FINAL SCORE],"&gt;"&amp;Twirling_Solo_F1B_Junior_Beginner[[#This Row],[FINAL SCORE]])+1</calculatedColumnFormula>
    </tableColumn>
    <tableColumn id="39" xr3:uid="{8A9BB448-2B49-41D8-8B78-F4AD82102BB4}" name="Category Type" dataDxfId="1256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9EF8FA2D-1C20-47AF-8A4A-0CBB7CF2F7F0}" name="Twirling_Group_TwirlingTeam_Cadet_Lower_Level" displayName="Twirling_Group_TwirlingTeam_Cadet_Lower_Level" ref="A1:AJ4" totalsRowShown="0" headerRowDxfId="229" dataDxfId="228">
  <autoFilter ref="A1:AJ4" xr:uid="{042C9DAD-4CB0-4D2A-8C87-3D9863992DF4}"/>
  <sortState xmlns:xlrd2="http://schemas.microsoft.com/office/spreadsheetml/2017/richdata2" ref="A2:AJ4">
    <sortCondition ref="AI1:AI4"/>
  </sortState>
  <tableColumns count="36">
    <tableColumn id="1" xr3:uid="{F4F748D3-F778-40FD-91A8-6DE7B0191D05}" name="Start No." dataDxfId="265"/>
    <tableColumn id="8" xr3:uid="{28A2B38F-2844-4682-8E30-83D4125E5D63}" name="Lane" dataDxfId="264"/>
    <tableColumn id="9" xr3:uid="{BA5AF094-F197-4CE9-833C-11DBB2822187}" name="Category" dataDxfId="263"/>
    <tableColumn id="32" xr3:uid="{5B6C31C1-530A-4C51-93D8-C5140797326C}" name="Age_x000a_Division" dataDxfId="262"/>
    <tableColumn id="40" xr3:uid="{E7610A71-7BE6-45AB-8250-FF14FCAF9DE2}" name="Level" dataDxfId="261"/>
    <tableColumn id="4" xr3:uid="{03255640-6FC0-4132-AA62-BD82D3E334CA}" name="Athlete" dataDxfId="260"/>
    <tableColumn id="38" xr3:uid="{99D2A197-C4D9-4F49-8A09-4459FE294A7F}" name="Club" dataDxfId="259"/>
    <tableColumn id="37" xr3:uid="{3E6B2EAC-E9DA-4616-9F2F-7360B46C3258}" name="Country" dataDxfId="258"/>
    <tableColumn id="15" xr3:uid="{92B395C0-7366-425F-989D-C9C88948FDF9}" name="Judge 1_x000a_Tamara Beljak" dataDxfId="257"/>
    <tableColumn id="33" xr3:uid="{86D96B8E-5E71-438B-B1C7-7A1B90ADB2EA}" name="J1 (-)" dataDxfId="256"/>
    <tableColumn id="26" xr3:uid="{40EBBE10-EB2A-430F-BBB2-6B08755AB545}" name="J1 TOTAL" dataDxfId="255">
      <calculatedColumnFormula>Twirling_Group_TwirlingTeam_Cadet_Lower_Level[[#This Row],[Judge 1
Tamara Beljak]]-J2</calculatedColumnFormula>
    </tableColumn>
    <tableColumn id="3" xr3:uid="{CCCDA50E-528B-46BA-ADC9-108E710CF762}" name="J1 (Rank)" dataDxfId="254">
      <calculatedColumnFormula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Row],[Category]],Twirling_Group_TwirlingTeam_Cadet_Lower_Level[J1 TOTAL],"&gt;"&amp;Twirling_Group_TwirlingTeam_Cadet_Lower_Level[[#This Row],[J1 TOTAL]])+1</calculatedColumnFormula>
    </tableColumn>
    <tableColumn id="16" xr3:uid="{84C5DAA8-E5D8-4975-8391-29604BAE9AC7}" name="Judge 2_x000a_Tihomir Bendelja" dataDxfId="253"/>
    <tableColumn id="34" xr3:uid="{48AF2078-90AA-4E09-98E6-CC79728A3585}" name="J2 (-)" dataDxfId="252"/>
    <tableColumn id="28" xr3:uid="{D1075AA2-A6F0-4515-B767-0179D6653FB1}" name="J2 TOTAL" dataDxfId="251">
      <calculatedColumnFormula>Twirling_Group_TwirlingTeam_Cadet_Lower_Level[[#This Row],[Judge 2
Tihomir Bendelja]]-Twirling_Group_TwirlingTeam_Cadet_Lower_Level[[#This Row],[J2 (-)]]</calculatedColumnFormula>
    </tableColumn>
    <tableColumn id="5" xr3:uid="{3B327C88-BDE4-40A9-A89B-B954EE87A57B}" name="J2 (Rank)" dataDxfId="250">
      <calculatedColumnFormula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Row],[Category]],Twirling_Group_TwirlingTeam_Cadet_Lower_Level[J2 TOTAL],"&gt;"&amp;Twirling_Group_TwirlingTeam_Cadet_Lower_Level[[#This Row],[J2 TOTAL]])+1</calculatedColumnFormula>
    </tableColumn>
    <tableColumn id="17" xr3:uid="{5C4F1731-4A90-45B2-844C-E98211CCC193}" name="Judge 3_x000a_Tea Softić" dataDxfId="249"/>
    <tableColumn id="35" xr3:uid="{E96CE95E-DDC9-4AFA-9631-C9509DE3A0E8}" name="J3 (-)" dataDxfId="248"/>
    <tableColumn id="30" xr3:uid="{3F0834C8-44C8-4819-A3BB-44CEFCB411E5}" name="J3 TOTAL" dataDxfId="247">
      <calculatedColumnFormula>Twirling_Group_TwirlingTeam_Cadet_Lower_Level[[#This Row],[Judge 3
Tea Softić]]-R2</calculatedColumnFormula>
    </tableColumn>
    <tableColumn id="6" xr3:uid="{91C75C3C-4201-4C57-A93B-0938E307225F}" name="J3 (Rank)" dataDxfId="246">
      <calculatedColumnFormula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Row],[Category]],Twirling_Group_TwirlingTeam_Cadet_Lower_Level[J3 TOTAL],"&gt;"&amp;Twirling_Group_TwirlingTeam_Cadet_Lower_Level[[#This Row],[J3 TOTAL]])+1</calculatedColumnFormula>
    </tableColumn>
    <tableColumn id="18" xr3:uid="{7C14CC9A-C60C-414E-8AD1-CD97A113DE2D}" name="Judge 4_x000a_Bernard Barač" dataDxfId="245"/>
    <tableColumn id="36" xr3:uid="{D1C104FD-8B2F-4D24-BD60-F4DABA0ACA6B}" name="J4 (-)" dataDxfId="244"/>
    <tableColumn id="31" xr3:uid="{F62687FB-F523-4B4F-901C-58F690DC3989}" name="J4 TOTAL" dataDxfId="243">
      <calculatedColumnFormula>Twirling_Group_TwirlingTeam_Cadet_Lower_Level[[#This Row],[Judge 4
Bernard Barač]]-V2</calculatedColumnFormula>
    </tableColumn>
    <tableColumn id="7" xr3:uid="{9ADF117A-06FC-4D35-9F91-56E774527B7D}" name="J4 (Rank)" dataDxfId="242">
      <calculatedColumnFormula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Row],[Category]],Twirling_Group_TwirlingTeam_Cadet_Lower_Level[J4 TOTAL],"&gt;"&amp;Twirling_Group_TwirlingTeam_Cadet_Lower_Level[[#This Row],[J4 TOTAL]])+1</calculatedColumnFormula>
    </tableColumn>
    <tableColumn id="12" xr3:uid="{4417B1D5-1D78-46FA-9EB4-3336FD518937}" name="Judge 5_x000a_Barbara Novina" dataDxfId="241"/>
    <tableColumn id="11" xr3:uid="{03AD9786-974D-4E9C-9754-1F487719DD0D}" name="J5 (-)" dataDxfId="240"/>
    <tableColumn id="10" xr3:uid="{3D67EF4F-CD2E-426D-B0CE-A5BEB00AB898}" name="J5 TOTAL" dataDxfId="239">
      <calculatedColumnFormula>Twirling_Group_TwirlingTeam_Cadet_Lower_Level[[#This Row],[Judge 5
Barbara Novina]]-Z2</calculatedColumnFormula>
    </tableColumn>
    <tableColumn id="2" xr3:uid="{D4038347-AE55-4016-8138-2D6DE533A6D7}" name="J5 (Rank)" dataDxfId="238">
      <calculatedColumnFormula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Row],[Category]],Twirling_Group_TwirlingTeam_Cadet_Lower_Level[J5 TOTAL],"&gt;"&amp;Twirling_Group_TwirlingTeam_Cadet_Lower_Level[[#This Row],[J5 TOTAL]])+1</calculatedColumnFormula>
    </tableColumn>
    <tableColumn id="20" xr3:uid="{3EAC5C7B-7698-4FB0-B298-D8149DD4A5BD}" name="Total" dataDxfId="237">
      <calculatedColumnFormula>SUM(Twirling_Group_TwirlingTeam_Cadet_Lower_Level[[#This Row],[J1 TOTAL]]+Twirling_Group_TwirlingTeam_Cadet_Lower_Level[[#This Row],[J2 TOTAL]]+Twirling_Group_TwirlingTeam_Cadet_Lower_Level[[#This Row],[J3 TOTAL]]+Twirling_Group_TwirlingTeam_Cadet_Lower_Level[[#This Row],[J4 TOTAL]])+Twirling_Group_TwirlingTeam_Cadet_Lower_Level[[#This Row],[J5 TOTAL]]</calculatedColumnFormula>
    </tableColumn>
    <tableColumn id="23" xr3:uid="{15D9FF6C-EDD9-46ED-93A2-739AB5A22425}" name="Low" dataDxfId="236">
      <calculatedColumnFormula>MIN(Twirling_Group_TwirlingTeam_Cadet_Lower_Level[[#This Row],[J1 TOTAL]],Twirling_Group_TwirlingTeam_Cadet_Lower_Level[[#This Row],[J3 TOTAL]],Twirling_Group_TwirlingTeam_Cadet_Lower_Level[[#This Row],[J4 TOTAL]],Twirling_Group_TwirlingTeam_Cadet_Lower_Level[[#This Row],[J5 TOTAL]])</calculatedColumnFormula>
    </tableColumn>
    <tableColumn id="19" xr3:uid="{69E9A5E7-6C13-4B40-855F-A7EAE21841EF}" name="High" dataDxfId="235">
      <calculatedColumnFormula>MAX(Twirling_Group_TwirlingTeam_Cadet_Lower_Level[[#This Row],[J1 TOTAL]],Twirling_Group_TwirlingTeam_Cadet_Lower_Level[[#This Row],[J2 TOTAL]],Twirling_Group_TwirlingTeam_Cadet_Lower_Level[[#This Row],[J3 TOTAL]],Twirling_Group_TwirlingTeam_Cadet_Lower_Level[[#This Row],[J4 TOTAL]],Twirling_Group_TwirlingTeam_Cadet_Lower_Level[[#This Row],[J5 TOTAL]])</calculatedColumnFormula>
    </tableColumn>
    <tableColumn id="25" xr3:uid="{45E602CF-8CF5-4BD1-9ABE-8751F1E7489A}" name="Final Total" dataDxfId="234">
      <calculatedColumnFormula>SUM(Twirling_Group_TwirlingTeam_Cadet_Lower_Level[[#This Row],[Total]]-Twirling_Group_TwirlingTeam_Cadet_Lower_Level[[#This Row],[Low]]-Twirling_Group_TwirlingTeam_Cadet_Lower_Level[[#This Row],[High]])</calculatedColumnFormula>
    </tableColumn>
    <tableColumn id="24" xr3:uid="{C0F4A024-1D3A-479D-B8F3-2A50365587D5}" name="Avg" dataDxfId="233">
      <calculatedColumnFormula>AVERAGE(I2,M2,Q2,U2,Y2)</calculatedColumnFormula>
    </tableColumn>
    <tableColumn id="22" xr3:uid="{7C1F2978-9C3C-4EC0-89AE-F3826FC46C8B}" name="FINAL SCORE" dataDxfId="232">
      <calculatedColumnFormula>Twirling_Group_TwirlingTeam_Cadet_Lower_Level[[#This Row],[Final Total]]</calculatedColumnFormula>
    </tableColumn>
    <tableColumn id="27" xr3:uid="{BB163005-F32E-46F9-8D53-F8C6DD81968C}" name="Rank" dataDxfId="231">
      <calculatedColumnFormula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Row],[Category]],Twirling_Group_TwirlingTeam_Cadet_Lower_Level[FINAL SCORE],"&gt;"&amp;Twirling_Group_TwirlingTeam_Cadet_Lower_Level[[#This Row],[FINAL SCORE]])+1</calculatedColumnFormula>
    </tableColumn>
    <tableColumn id="39" xr3:uid="{EC994503-E4A6-48A3-8B44-C60CCB5C998D}" name="Category Type" dataDxfId="230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F85187CA-B195-4480-BEFF-12AE0C988732}" name="Twirling_Group_TwirlingTeam_Cadet_Upper_Level" displayName="Twirling_Group_TwirlingTeam_Cadet_Upper_Level" ref="A1:AJ2" totalsRowShown="0" headerRowDxfId="191" dataDxfId="190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785D88AD-0441-4FFF-8289-FDE5F90B47F3}" name="Start No." dataDxfId="227"/>
    <tableColumn id="8" xr3:uid="{A1627A3A-BBAD-40A9-87F7-A8A23396ED02}" name="Lane" dataDxfId="226"/>
    <tableColumn id="9" xr3:uid="{39447FDB-A8CD-4D25-96A0-3DB4C38867B1}" name="Category" dataDxfId="225"/>
    <tableColumn id="32" xr3:uid="{3BCD1F37-8957-4F53-9B15-5575A79BB4C8}" name="Age_x000a_Division" dataDxfId="224"/>
    <tableColumn id="40" xr3:uid="{56FC4A08-78B6-46D1-A927-4F7BA5BC649B}" name="Level" dataDxfId="223"/>
    <tableColumn id="4" xr3:uid="{EE14535D-ABC8-48B1-8D26-877052ADBDE3}" name="Athlete" dataDxfId="222"/>
    <tableColumn id="38" xr3:uid="{8A1AA969-AB15-4B73-97EA-EF89645BA6BF}" name="Club" dataDxfId="221"/>
    <tableColumn id="37" xr3:uid="{3344EDA5-3F63-46E2-B08B-AA6F7FA26A09}" name="Country" dataDxfId="220"/>
    <tableColumn id="15" xr3:uid="{38F0F16D-0A3D-42E8-822C-CD3AB0C0F465}" name="Judge 1_x000a_Tamara Beljak" dataDxfId="219"/>
    <tableColumn id="33" xr3:uid="{8A0E7948-7CC0-42AA-9FDC-AD422FCDA279}" name="J1 (-)" dataDxfId="218"/>
    <tableColumn id="26" xr3:uid="{BAF78FA7-2D5D-482D-8A44-340EB7F1F6A7}" name="J1 TOTAL" dataDxfId="217">
      <calculatedColumnFormula>Twirling_Group_TwirlingTeam_Cadet_Upper_Level[[#This Row],[Judge 1
Tamara Beljak]]-J2</calculatedColumnFormula>
    </tableColumn>
    <tableColumn id="3" xr3:uid="{3470D1EB-5B9A-4ABF-80E2-21AAEA20D1D4}" name="J1 (Rank)" dataDxfId="216">
      <calculatedColumnFormula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Row],[Category]],Twirling_Group_TwirlingTeam_Cadet_Upper_Level[J1 TOTAL],"&gt;"&amp;Twirling_Group_TwirlingTeam_Cadet_Upper_Level[[#This Row],[J1 TOTAL]])+1</calculatedColumnFormula>
    </tableColumn>
    <tableColumn id="16" xr3:uid="{C85D9F33-E62E-4565-970C-853A9B1A930D}" name="Judge 2_x000a_Tihomir Bendelja" dataDxfId="215"/>
    <tableColumn id="34" xr3:uid="{01899C68-561F-40B4-B82E-09E0ED3AE36E}" name="J2 (-)" dataDxfId="214"/>
    <tableColumn id="28" xr3:uid="{80C54B72-7326-48F9-B6FB-21F1FF4048D7}" name="J2 TOTAL" dataDxfId="213">
      <calculatedColumnFormula>Twirling_Group_TwirlingTeam_Cadet_Upper_Level[[#This Row],[Judge 2
Tihomir Bendelja]]-Twirling_Group_TwirlingTeam_Cadet_Upper_Level[[#This Row],[J2 (-)]]</calculatedColumnFormula>
    </tableColumn>
    <tableColumn id="5" xr3:uid="{FF057A8A-E4E2-4F36-A8E9-403E00FEF575}" name="J2 (Rank)" dataDxfId="212">
      <calculatedColumnFormula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Row],[Category]],Twirling_Group_TwirlingTeam_Cadet_Upper_Level[J2 TOTAL],"&gt;"&amp;Twirling_Group_TwirlingTeam_Cadet_Upper_Level[[#This Row],[J2 TOTAL]])+1</calculatedColumnFormula>
    </tableColumn>
    <tableColumn id="17" xr3:uid="{9B2645E8-C431-44C4-9259-A40D826D0CAD}" name="Judge 3_x000a_Tea Softić" dataDxfId="211"/>
    <tableColumn id="35" xr3:uid="{2FB75B24-7067-4DD8-899B-43C4AD9DA566}" name="J3 (-)" dataDxfId="210"/>
    <tableColumn id="30" xr3:uid="{A075666B-B4BC-47A2-A29C-493373E85C43}" name="J3 TOTAL" dataDxfId="209">
      <calculatedColumnFormula>Twirling_Group_TwirlingTeam_Cadet_Upper_Level[[#This Row],[Judge 3
Tea Softić]]-R2</calculatedColumnFormula>
    </tableColumn>
    <tableColumn id="6" xr3:uid="{4FC8CA0C-FE47-4A5B-AF63-201FAB9AD315}" name="J3 (Rank)" dataDxfId="208">
      <calculatedColumnFormula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Row],[Category]],Twirling_Group_TwirlingTeam_Cadet_Upper_Level[J3 TOTAL],"&gt;"&amp;Twirling_Group_TwirlingTeam_Cadet_Upper_Level[[#This Row],[J3 TOTAL]])+1</calculatedColumnFormula>
    </tableColumn>
    <tableColumn id="18" xr3:uid="{1E2620A6-67F0-4886-87AD-77C192850CF6}" name="Judge 4_x000a_Bernard Barač" dataDxfId="207"/>
    <tableColumn id="36" xr3:uid="{C6E0DDB2-6D2D-4197-B819-EBC1E4257388}" name="J4 (-)" dataDxfId="206"/>
    <tableColumn id="31" xr3:uid="{BA476954-F867-46B2-9FCC-367A236C368C}" name="J4 TOTAL" dataDxfId="205">
      <calculatedColumnFormula>Twirling_Group_TwirlingTeam_Cadet_Upper_Level[[#This Row],[Judge 4
Bernard Barač]]-V2</calculatedColumnFormula>
    </tableColumn>
    <tableColumn id="7" xr3:uid="{FFC0B0F1-43AF-4A68-8077-3F95E512F849}" name="J4 (Rank)" dataDxfId="204">
      <calculatedColumnFormula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Row],[Category]],Twirling_Group_TwirlingTeam_Cadet_Upper_Level[J4 TOTAL],"&gt;"&amp;Twirling_Group_TwirlingTeam_Cadet_Upper_Level[[#This Row],[J4 TOTAL]])+1</calculatedColumnFormula>
    </tableColumn>
    <tableColumn id="12" xr3:uid="{169C8C60-8B13-4BC2-B16A-9BB6ACD37590}" name="Judge 5_x000a_Barbara Novina" dataDxfId="203"/>
    <tableColumn id="11" xr3:uid="{DEBEEA10-1A4E-42E1-9783-4DE515FBD6A0}" name="J5 (-)" dataDxfId="202"/>
    <tableColumn id="10" xr3:uid="{E87271E2-8AD5-4714-9383-7AC9F2B4C8A7}" name="J5 TOTAL" dataDxfId="201">
      <calculatedColumnFormula>Twirling_Group_TwirlingTeam_Cadet_Upper_Level[[#This Row],[Judge 5
Barbara Novina]]-Z2</calculatedColumnFormula>
    </tableColumn>
    <tableColumn id="2" xr3:uid="{0A6D8B66-3942-460C-A8F4-947CC8E715D9}" name="J5 (Rank)" dataDxfId="200">
      <calculatedColumnFormula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Row],[Category]],Twirling_Group_TwirlingTeam_Cadet_Upper_Level[J5 TOTAL],"&gt;"&amp;Twirling_Group_TwirlingTeam_Cadet_Upper_Level[[#This Row],[J5 TOTAL]])+1</calculatedColumnFormula>
    </tableColumn>
    <tableColumn id="20" xr3:uid="{2BDC6481-11E9-488A-B53D-3E76783BB125}" name="Total" dataDxfId="199">
      <calculatedColumnFormula>SUM(Twirling_Group_TwirlingTeam_Cadet_Upper_Level[[#This Row],[J1 TOTAL]]+Twirling_Group_TwirlingTeam_Cadet_Upper_Level[[#This Row],[J2 TOTAL]]+Twirling_Group_TwirlingTeam_Cadet_Upper_Level[[#This Row],[J3 TOTAL]]+Twirling_Group_TwirlingTeam_Cadet_Upper_Level[[#This Row],[J4 TOTAL]])+Twirling_Group_TwirlingTeam_Cadet_Upper_Level[[#This Row],[J5 TOTAL]]</calculatedColumnFormula>
    </tableColumn>
    <tableColumn id="23" xr3:uid="{311B3782-2CC7-43AA-9666-9332408E09FC}" name="Low" dataDxfId="198">
      <calculatedColumnFormula>MIN(Twirling_Group_TwirlingTeam_Cadet_Upper_Level[[#This Row],[J1 TOTAL]],Twirling_Group_TwirlingTeam_Cadet_Upper_Level[[#This Row],[J3 TOTAL]],Twirling_Group_TwirlingTeam_Cadet_Upper_Level[[#This Row],[J4 TOTAL]],Twirling_Group_TwirlingTeam_Cadet_Upper_Level[[#This Row],[J5 TOTAL]])</calculatedColumnFormula>
    </tableColumn>
    <tableColumn id="19" xr3:uid="{DE7A79EB-37B9-4337-9D0E-6946ACA51A64}" name="High" dataDxfId="197">
      <calculatedColumnFormula>MAX(Twirling_Group_TwirlingTeam_Cadet_Upper_Level[[#This Row],[J1 TOTAL]],Twirling_Group_TwirlingTeam_Cadet_Upper_Level[[#This Row],[J2 TOTAL]],Twirling_Group_TwirlingTeam_Cadet_Upper_Level[[#This Row],[J3 TOTAL]],Twirling_Group_TwirlingTeam_Cadet_Upper_Level[[#This Row],[J4 TOTAL]],Twirling_Group_TwirlingTeam_Cadet_Upper_Level[[#This Row],[J5 TOTAL]])</calculatedColumnFormula>
    </tableColumn>
    <tableColumn id="25" xr3:uid="{69A715BF-7EB0-4D6C-AE17-EF746AF0FF01}" name="Final Total" dataDxfId="196">
      <calculatedColumnFormula>SUM(Twirling_Group_TwirlingTeam_Cadet_Upper_Level[[#This Row],[Total]]-Twirling_Group_TwirlingTeam_Cadet_Upper_Level[[#This Row],[Low]]-Twirling_Group_TwirlingTeam_Cadet_Upper_Level[[#This Row],[High]])</calculatedColumnFormula>
    </tableColumn>
    <tableColumn id="24" xr3:uid="{13275699-63CD-4002-9CCF-E05F573267A6}" name="Avg" dataDxfId="195">
      <calculatedColumnFormula>AVERAGE(I2,M2,Q2,U2,Y2)</calculatedColumnFormula>
    </tableColumn>
    <tableColumn id="22" xr3:uid="{4B37F92A-4BF5-4FB0-B89B-783C87407C19}" name="FINAL SCORE" dataDxfId="194">
      <calculatedColumnFormula>Twirling_Group_TwirlingTeam_Cadet_Upper_Level[[#This Row],[Final Total]]</calculatedColumnFormula>
    </tableColumn>
    <tableColumn id="27" xr3:uid="{3013806D-86C2-46C4-A661-1C9FC676F9DB}" name="Rank" dataDxfId="193">
      <calculatedColumnFormula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Row],[Category]],Twirling_Group_TwirlingTeam_Cadet_Upper_Level[FINAL SCORE],"&gt;"&amp;Twirling_Group_TwirlingTeam_Cadet_Upper_Level[[#This Row],[FINAL SCORE]])+1</calculatedColumnFormula>
    </tableColumn>
    <tableColumn id="39" xr3:uid="{8B932B83-5CBA-4F4A-9B83-BAD741684166}" name="Category Type" dataDxfId="192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DD2EC641-D751-4E22-B6EF-B9FC61473404}" name="Twirling_Group_TwirlingTeam_Junior_Lower_Level" displayName="Twirling_Group_TwirlingTeam_Junior_Lower_Level" ref="A1:AJ5" totalsRowShown="0" headerRowDxfId="153" dataDxfId="152">
  <autoFilter ref="A1:AJ5" xr:uid="{042C9DAD-4CB0-4D2A-8C87-3D9863992DF4}"/>
  <sortState xmlns:xlrd2="http://schemas.microsoft.com/office/spreadsheetml/2017/richdata2" ref="A2:AJ5">
    <sortCondition ref="AI1:AI5"/>
  </sortState>
  <tableColumns count="36">
    <tableColumn id="1" xr3:uid="{260A93B6-D1EC-440A-AD64-12CCB6C684E5}" name="Start No." dataDxfId="189"/>
    <tableColumn id="8" xr3:uid="{AC29ABB6-4C81-474C-A32F-8E52AC476EC7}" name="Lane" dataDxfId="188"/>
    <tableColumn id="9" xr3:uid="{6A442457-B0F4-42C1-9523-85504B6E9B62}" name="Category" dataDxfId="187"/>
    <tableColumn id="32" xr3:uid="{A35E4CA5-BDA5-4BB0-82C1-47E2B0A26AE1}" name="Age_x000a_Division" dataDxfId="186"/>
    <tableColumn id="40" xr3:uid="{97B22D4C-BA6E-4EAE-934D-3F9F67DEC12C}" name="Level" dataDxfId="185"/>
    <tableColumn id="4" xr3:uid="{A3D3B413-C3A8-420F-8F69-81C5B7686389}" name="Athlete" dataDxfId="184"/>
    <tableColumn id="38" xr3:uid="{9DF1E622-AC01-4908-B62E-E0C0477EE87F}" name="Club" dataDxfId="183"/>
    <tableColumn id="37" xr3:uid="{5BC89374-76BB-415A-9C1C-64214C142296}" name="Country" dataDxfId="182"/>
    <tableColumn id="15" xr3:uid="{DF54ACE0-B98A-4FEC-AC81-E413A2C8435B}" name="Judge 1_x000a_Tamara Beljak" dataDxfId="181"/>
    <tableColumn id="33" xr3:uid="{A90CB154-E53A-4EAF-9633-1BE881C70DCD}" name="J1 (-)" dataDxfId="180"/>
    <tableColumn id="26" xr3:uid="{97D51DA7-8132-47A1-BDF9-DE603825994A}" name="J1 TOTAL" dataDxfId="179">
      <calculatedColumnFormula>Twirling_Group_TwirlingTeam_Junior_Lower_Level[[#This Row],[Judge 1
Tamara Beljak]]-J2</calculatedColumnFormula>
    </tableColumn>
    <tableColumn id="3" xr3:uid="{9895E81D-75AC-4BA9-AAE8-9D2DE0F4B9EF}" name="J1 (Rank)" dataDxfId="178">
      <calculatedColumnFormula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Row],[Category]],Twirling_Group_TwirlingTeam_Junior_Lower_Level[J1 TOTAL],"&gt;"&amp;Twirling_Group_TwirlingTeam_Junior_Lower_Level[[#This Row],[J1 TOTAL]])+1</calculatedColumnFormula>
    </tableColumn>
    <tableColumn id="16" xr3:uid="{B980E396-07BD-4162-9A72-CB3CD466B951}" name="Judge 2_x000a_Tihomir Bendelja" dataDxfId="177"/>
    <tableColumn id="34" xr3:uid="{190FA069-E59F-472B-8852-69BA1E4A50BD}" name="J2 (-)" dataDxfId="176"/>
    <tableColumn id="28" xr3:uid="{C81384E0-3CA0-4D71-BAA8-300EF6921427}" name="J2 TOTAL" dataDxfId="175">
      <calculatedColumnFormula>Twirling_Group_TwirlingTeam_Junior_Lower_Level[[#This Row],[Judge 2
Tihomir Bendelja]]-Twirling_Group_TwirlingTeam_Junior_Lower_Level[[#This Row],[J2 (-)]]</calculatedColumnFormula>
    </tableColumn>
    <tableColumn id="5" xr3:uid="{79D1E370-B078-4886-9A17-7745CF78001A}" name="J2 (Rank)" dataDxfId="174">
      <calculatedColumnFormula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Row],[Category]],Twirling_Group_TwirlingTeam_Junior_Lower_Level[J2 TOTAL],"&gt;"&amp;Twirling_Group_TwirlingTeam_Junior_Lower_Level[[#This Row],[J2 TOTAL]])+1</calculatedColumnFormula>
    </tableColumn>
    <tableColumn id="17" xr3:uid="{483E8F7D-DD7C-4FC5-813E-74C43AB795D4}" name="Judge 3_x000a_Tea Softić" dataDxfId="173"/>
    <tableColumn id="35" xr3:uid="{480E9FBC-0BC4-4272-A4DE-185436600865}" name="J3 (-)" dataDxfId="172"/>
    <tableColumn id="30" xr3:uid="{63FA7E3A-DDCF-45F7-854E-8C405B76AFFE}" name="J3 TOTAL" dataDxfId="171">
      <calculatedColumnFormula>Twirling_Group_TwirlingTeam_Junior_Lower_Level[[#This Row],[Judge 3
Tea Softić]]-R2</calculatedColumnFormula>
    </tableColumn>
    <tableColumn id="6" xr3:uid="{0F1BDCAD-C42D-4E4B-935C-02D6D4D2FDFF}" name="J3 (Rank)" dataDxfId="170">
      <calculatedColumnFormula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Row],[Category]],Twirling_Group_TwirlingTeam_Junior_Lower_Level[J3 TOTAL],"&gt;"&amp;Twirling_Group_TwirlingTeam_Junior_Lower_Level[[#This Row],[J3 TOTAL]])+1</calculatedColumnFormula>
    </tableColumn>
    <tableColumn id="18" xr3:uid="{46A8199E-B411-49E5-B59B-FC7513EA97E5}" name="Judge 4_x000a_Bernard Barač" dataDxfId="169"/>
    <tableColumn id="36" xr3:uid="{76330D6C-5977-46DA-9577-A59B910520E1}" name="J4 (-)" dataDxfId="168"/>
    <tableColumn id="31" xr3:uid="{E2ACE2B4-A06D-4CFF-BC66-5186C2C4EEB2}" name="J4 TOTAL" dataDxfId="167">
      <calculatedColumnFormula>Twirling_Group_TwirlingTeam_Junior_Lower_Level[[#This Row],[Judge 4
Bernard Barač]]-V2</calculatedColumnFormula>
    </tableColumn>
    <tableColumn id="7" xr3:uid="{D1D06478-16F2-4E8E-8956-F0CA8844CAAB}" name="J4 (Rank)" dataDxfId="166">
      <calculatedColumnFormula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Row],[Category]],Twirling_Group_TwirlingTeam_Junior_Lower_Level[J4 TOTAL],"&gt;"&amp;Twirling_Group_TwirlingTeam_Junior_Lower_Level[[#This Row],[J4 TOTAL]])+1</calculatedColumnFormula>
    </tableColumn>
    <tableColumn id="12" xr3:uid="{932634CA-68CE-4A61-B215-E149A485ED6B}" name="Judge 5_x000a_Barbara Novina" dataDxfId="165"/>
    <tableColumn id="11" xr3:uid="{3AC82E4A-A1E6-4E40-972C-174017819C56}" name="J5 (-)" dataDxfId="164"/>
    <tableColumn id="10" xr3:uid="{E8239B5C-464C-446B-BB9D-3ED79C49E1AC}" name="J5 TOTAL" dataDxfId="163">
      <calculatedColumnFormula>Twirling_Group_TwirlingTeam_Junior_Lower_Level[[#This Row],[Judge 5
Barbara Novina]]-Z2</calculatedColumnFormula>
    </tableColumn>
    <tableColumn id="2" xr3:uid="{318F14BC-E71E-4F80-9344-C022DBFFB3A9}" name="J5 (Rank)" dataDxfId="162">
      <calculatedColumnFormula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Row],[Category]],Twirling_Group_TwirlingTeam_Junior_Lower_Level[J5 TOTAL],"&gt;"&amp;Twirling_Group_TwirlingTeam_Junior_Lower_Level[[#This Row],[J5 TOTAL]])+1</calculatedColumnFormula>
    </tableColumn>
    <tableColumn id="20" xr3:uid="{CF4376BE-2EFE-4991-9350-005646C846A1}" name="Total" dataDxfId="161">
      <calculatedColumnFormula>SUM(Twirling_Group_TwirlingTeam_Junior_Lower_Level[[#This Row],[J1 TOTAL]]+Twirling_Group_TwirlingTeam_Junior_Lower_Level[[#This Row],[J2 TOTAL]]+Twirling_Group_TwirlingTeam_Junior_Lower_Level[[#This Row],[J3 TOTAL]]+Twirling_Group_TwirlingTeam_Junior_Lower_Level[[#This Row],[J4 TOTAL]])+Twirling_Group_TwirlingTeam_Junior_Lower_Level[[#This Row],[J5 TOTAL]]</calculatedColumnFormula>
    </tableColumn>
    <tableColumn id="23" xr3:uid="{62913365-8A5C-4563-A749-91FF94270464}" name="Low" dataDxfId="160">
      <calculatedColumnFormula>MIN(Twirling_Group_TwirlingTeam_Junior_Lower_Level[[#This Row],[J1 TOTAL]],Twirling_Group_TwirlingTeam_Junior_Lower_Level[[#This Row],[J3 TOTAL]],Twirling_Group_TwirlingTeam_Junior_Lower_Level[[#This Row],[J4 TOTAL]],Twirling_Group_TwirlingTeam_Junior_Lower_Level[[#This Row],[J5 TOTAL]])</calculatedColumnFormula>
    </tableColumn>
    <tableColumn id="19" xr3:uid="{7EC6ECF7-2E70-402D-A357-FD108884ED87}" name="High" dataDxfId="159">
      <calculatedColumnFormula>MAX(Twirling_Group_TwirlingTeam_Junior_Lower_Level[[#This Row],[J1 TOTAL]],Twirling_Group_TwirlingTeam_Junior_Lower_Level[[#This Row],[J2 TOTAL]],Twirling_Group_TwirlingTeam_Junior_Lower_Level[[#This Row],[J3 TOTAL]],Twirling_Group_TwirlingTeam_Junior_Lower_Level[[#This Row],[J4 TOTAL]],Twirling_Group_TwirlingTeam_Junior_Lower_Level[[#This Row],[J5 TOTAL]])</calculatedColumnFormula>
    </tableColumn>
    <tableColumn id="25" xr3:uid="{549884BA-2F9C-4744-878F-F1E121C93E39}" name="Final Total" dataDxfId="158">
      <calculatedColumnFormula>SUM(Twirling_Group_TwirlingTeam_Junior_Lower_Level[[#This Row],[Total]]-Twirling_Group_TwirlingTeam_Junior_Lower_Level[[#This Row],[Low]]-Twirling_Group_TwirlingTeam_Junior_Lower_Level[[#This Row],[High]])</calculatedColumnFormula>
    </tableColumn>
    <tableColumn id="24" xr3:uid="{E51F45CA-26DC-4239-A45F-F8A84550A463}" name="Avg" dataDxfId="157">
      <calculatedColumnFormula>AVERAGE(I2,M2,Q2,U2,Y2)</calculatedColumnFormula>
    </tableColumn>
    <tableColumn id="22" xr3:uid="{CF404E5F-832B-42A5-8D02-D611AFF3C9B3}" name="FINAL SCORE" dataDxfId="156">
      <calculatedColumnFormula>Twirling_Group_TwirlingTeam_Junior_Lower_Level[[#This Row],[Final Total]]</calculatedColumnFormula>
    </tableColumn>
    <tableColumn id="27" xr3:uid="{24F5EF40-9502-43EF-858A-F3591E058962}" name="Rank" dataDxfId="155">
      <calculatedColumnFormula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Row],[Category]],Twirling_Group_TwirlingTeam_Junior_Lower_Level[FINAL SCORE],"&gt;"&amp;Twirling_Group_TwirlingTeam_Junior_Lower_Level[[#This Row],[FINAL SCORE]])+1</calculatedColumnFormula>
    </tableColumn>
    <tableColumn id="39" xr3:uid="{B3C6799F-0AC6-42DE-B008-2D54877828B4}" name="Category Type" dataDxfId="154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3678BCE-937F-4084-84A9-731A2DC68D0A}" name="Twirling_Group_TwirlingTeam_Senior_Lower_Level" displayName="Twirling_Group_TwirlingTeam_Senior_Lower_Level" ref="A1:AJ3" totalsRowShown="0" headerRowDxfId="115" dataDxfId="114">
  <autoFilter ref="A1:AJ3" xr:uid="{042C9DAD-4CB0-4D2A-8C87-3D9863992DF4}"/>
  <sortState xmlns:xlrd2="http://schemas.microsoft.com/office/spreadsheetml/2017/richdata2" ref="A2:AJ2">
    <sortCondition ref="AI1:AI2"/>
  </sortState>
  <tableColumns count="36">
    <tableColumn id="1" xr3:uid="{25F004D4-D430-4549-BCB7-9F727B6EE62D}" name="Start No." dataDxfId="151"/>
    <tableColumn id="8" xr3:uid="{39F864E8-861F-4F41-9926-9A129B10B184}" name="Lane" dataDxfId="150"/>
    <tableColumn id="9" xr3:uid="{72C6B764-E4F0-4A4F-8029-917C790A3D73}" name="Category" dataDxfId="149"/>
    <tableColumn id="32" xr3:uid="{B0642AA0-97D8-4240-9D4F-92FFAE72E14C}" name="Age_x000a_Division" dataDxfId="148"/>
    <tableColumn id="40" xr3:uid="{E0192FFC-595D-46BA-9630-9F26F53FB852}" name="Level" dataDxfId="147"/>
    <tableColumn id="4" xr3:uid="{54E4E9A7-7127-4B44-A47E-B35EB066C771}" name="Athlete" dataDxfId="146"/>
    <tableColumn id="38" xr3:uid="{D753CCE1-BF01-43A9-8387-536FC22E445C}" name="Club" dataDxfId="145"/>
    <tableColumn id="37" xr3:uid="{01D52420-9C0F-4523-B8CB-644ED25478F1}" name="Country" dataDxfId="144"/>
    <tableColumn id="15" xr3:uid="{C08F6E07-5E43-4B01-A6F8-233047882CAE}" name="Judge 1_x000a_Tamara Beljak" dataDxfId="143"/>
    <tableColumn id="33" xr3:uid="{E3217298-5AE4-400B-870E-2BA03400A417}" name="J1 (-)" dataDxfId="142"/>
    <tableColumn id="26" xr3:uid="{92A15EEE-54BB-433F-9C86-E08FC723DB41}" name="J1 TOTAL" dataDxfId="141">
      <calculatedColumnFormula>Twirling_Group_TwirlingTeam_Senior_Lower_Level[[#This Row],[Judge 1
Tamara Beljak]]-J2</calculatedColumnFormula>
    </tableColumn>
    <tableColumn id="3" xr3:uid="{57481CCE-ABBF-4EBF-B339-0357248862BD}" name="J1 (Rank)" dataDxfId="140">
      <calculatedColumnFormula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Row],[Category]],Twirling_Group_TwirlingTeam_Senior_Lower_Level[J1 TOTAL],"&gt;"&amp;Twirling_Group_TwirlingTeam_Senior_Lower_Level[[#This Row],[J1 TOTAL]])+1</calculatedColumnFormula>
    </tableColumn>
    <tableColumn id="16" xr3:uid="{EF2C74C3-2205-40FE-BF9A-A6709978BD47}" name="Judge 2_x000a_Tihomir Bendelja" dataDxfId="139"/>
    <tableColumn id="34" xr3:uid="{63F96496-B546-4E7A-AFC7-0ECF7EFB30FA}" name="J2 (-)" dataDxfId="138"/>
    <tableColumn id="28" xr3:uid="{99286338-34EE-4617-95B8-E3FFF7422289}" name="J2 TOTAL" dataDxfId="137">
      <calculatedColumnFormula>Twirling_Group_TwirlingTeam_Senior_Lower_Level[[#This Row],[Judge 2
Tihomir Bendelja]]-Twirling_Group_TwirlingTeam_Senior_Lower_Level[[#This Row],[J2 (-)]]</calculatedColumnFormula>
    </tableColumn>
    <tableColumn id="5" xr3:uid="{D0C1CE90-12D0-472D-AB6B-ECA1D407F065}" name="J2 (Rank)" dataDxfId="136">
      <calculatedColumnFormula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Row],[Category]],Twirling_Group_TwirlingTeam_Senior_Lower_Level[J2 TOTAL],"&gt;"&amp;Twirling_Group_TwirlingTeam_Senior_Lower_Level[[#This Row],[J2 TOTAL]])+1</calculatedColumnFormula>
    </tableColumn>
    <tableColumn id="17" xr3:uid="{12E691CA-A91D-4D23-AD2E-C766A67D806D}" name="Judge 3_x000a_Tea Softić" dataDxfId="135"/>
    <tableColumn id="35" xr3:uid="{4D41C90A-9799-499B-80B4-8288FF72BC71}" name="J3 (-)" dataDxfId="134"/>
    <tableColumn id="30" xr3:uid="{71FB137F-B7EF-436C-9416-48DA9F8D7619}" name="J3 TOTAL" dataDxfId="133">
      <calculatedColumnFormula>Twirling_Group_TwirlingTeam_Senior_Lower_Level[[#This Row],[Judge 3
Tea Softić]]-R2</calculatedColumnFormula>
    </tableColumn>
    <tableColumn id="6" xr3:uid="{A4741CB4-2642-45DC-A2A6-B4939B112E83}" name="J3 (Rank)" dataDxfId="132">
      <calculatedColumnFormula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Row],[Category]],Twirling_Group_TwirlingTeam_Senior_Lower_Level[J3 TOTAL],"&gt;"&amp;Twirling_Group_TwirlingTeam_Senior_Lower_Level[[#This Row],[J3 TOTAL]])+1</calculatedColumnFormula>
    </tableColumn>
    <tableColumn id="18" xr3:uid="{953494E0-DD2D-4F1C-A484-A8247F48AE2B}" name="Judge 4_x000a_Bernard Barač" dataDxfId="131"/>
    <tableColumn id="36" xr3:uid="{AA05744B-685E-430C-B9C7-C433EF8FFD3B}" name="J4 (-)" dataDxfId="130"/>
    <tableColumn id="31" xr3:uid="{E3784B91-AEDD-4FD2-A9CD-85B2CC70D47D}" name="J4 TOTAL" dataDxfId="129">
      <calculatedColumnFormula>Twirling_Group_TwirlingTeam_Senior_Lower_Level[[#This Row],[Judge 4
Bernard Barač]]-V2</calculatedColumnFormula>
    </tableColumn>
    <tableColumn id="7" xr3:uid="{9DAA1593-1578-45FD-8D28-0AFC641DFA7F}" name="J4 (Rank)" dataDxfId="128">
      <calculatedColumnFormula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Row],[Category]],Twirling_Group_TwirlingTeam_Senior_Lower_Level[J4 TOTAL],"&gt;"&amp;Twirling_Group_TwirlingTeam_Senior_Lower_Level[[#This Row],[J4 TOTAL]])+1</calculatedColumnFormula>
    </tableColumn>
    <tableColumn id="12" xr3:uid="{9BABFAE0-25CF-4AE0-BAA1-0602832D6610}" name="Judge 5_x000a_Barbara Novina" dataDxfId="127"/>
    <tableColumn id="11" xr3:uid="{B51C66BC-95DB-446F-B069-CEC22231307F}" name="J5 (-)" dataDxfId="126"/>
    <tableColumn id="10" xr3:uid="{5E91D3B6-9A95-4871-AFF4-76B38254B07E}" name="J5 TOTAL" dataDxfId="125">
      <calculatedColumnFormula>Twirling_Group_TwirlingTeam_Senior_Lower_Level[[#This Row],[Judge 5
Barbara Novina]]-Z2</calculatedColumnFormula>
    </tableColumn>
    <tableColumn id="2" xr3:uid="{CFB04094-6017-4590-BB22-C00B64378AC6}" name="J5 (Rank)" dataDxfId="124">
      <calculatedColumnFormula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Row],[Category]],Twirling_Group_TwirlingTeam_Senior_Lower_Level[J5 TOTAL],"&gt;"&amp;Twirling_Group_TwirlingTeam_Senior_Lower_Level[[#This Row],[J5 TOTAL]])+1</calculatedColumnFormula>
    </tableColumn>
    <tableColumn id="20" xr3:uid="{137F8959-C539-41DB-BD0A-6D5F7944FC8C}" name="Total" dataDxfId="123">
      <calculatedColumnFormula>SUM(Twirling_Group_TwirlingTeam_Senior_Lower_Level[[#This Row],[J1 TOTAL]]+Twirling_Group_TwirlingTeam_Senior_Lower_Level[[#This Row],[J2 TOTAL]]+Twirling_Group_TwirlingTeam_Senior_Lower_Level[[#This Row],[J3 TOTAL]]+Twirling_Group_TwirlingTeam_Senior_Lower_Level[[#This Row],[J4 TOTAL]])+Twirling_Group_TwirlingTeam_Senior_Lower_Level[[#This Row],[J5 TOTAL]]</calculatedColumnFormula>
    </tableColumn>
    <tableColumn id="23" xr3:uid="{D00A9B27-B4C9-42F7-A24F-E124154CFBF3}" name="Low" dataDxfId="122">
      <calculatedColumnFormula>MIN(Twirling_Group_TwirlingTeam_Senior_Lower_Level[[#This Row],[J1 TOTAL]],Twirling_Group_TwirlingTeam_Senior_Lower_Level[[#This Row],[J3 TOTAL]],Twirling_Group_TwirlingTeam_Senior_Lower_Level[[#This Row],[J4 TOTAL]],Twirling_Group_TwirlingTeam_Senior_Lower_Level[[#This Row],[J5 TOTAL]])</calculatedColumnFormula>
    </tableColumn>
    <tableColumn id="19" xr3:uid="{0E715EBD-8E78-4D67-BE4D-9136B75A551B}" name="High" dataDxfId="121">
      <calculatedColumnFormula>MAX(Twirling_Group_TwirlingTeam_Senior_Lower_Level[[#This Row],[J1 TOTAL]],Twirling_Group_TwirlingTeam_Senior_Lower_Level[[#This Row],[J2 TOTAL]],Twirling_Group_TwirlingTeam_Senior_Lower_Level[[#This Row],[J3 TOTAL]],Twirling_Group_TwirlingTeam_Senior_Lower_Level[[#This Row],[J4 TOTAL]],Twirling_Group_TwirlingTeam_Senior_Lower_Level[[#This Row],[J5 TOTAL]])</calculatedColumnFormula>
    </tableColumn>
    <tableColumn id="25" xr3:uid="{09AEFCD9-11A3-4289-ABC6-B4708E4DFFEE}" name="Final Total" dataDxfId="120">
      <calculatedColumnFormula>SUM(Twirling_Group_TwirlingTeam_Senior_Lower_Level[[#This Row],[Total]]-Twirling_Group_TwirlingTeam_Senior_Lower_Level[[#This Row],[Low]]-Twirling_Group_TwirlingTeam_Senior_Lower_Level[[#This Row],[High]])</calculatedColumnFormula>
    </tableColumn>
    <tableColumn id="24" xr3:uid="{76F88164-0380-4B01-8293-50C554898EFB}" name="Avg" dataDxfId="119">
      <calculatedColumnFormula>AVERAGE(I2,M2,Q2,U2,Y2)</calculatedColumnFormula>
    </tableColumn>
    <tableColumn id="22" xr3:uid="{49011730-D56C-4970-8BE7-7CF308836A3B}" name="FINAL SCORE" dataDxfId="118">
      <calculatedColumnFormula>Twirling_Group_TwirlingTeam_Senior_Lower_Level[[#This Row],[Final Total]]</calculatedColumnFormula>
    </tableColumn>
    <tableColumn id="27" xr3:uid="{1E68A351-5CB7-4888-B3D0-4F25C8899DF2}" name="Rank" dataDxfId="117">
      <calculatedColumnFormula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Row],[Category]],Twirling_Group_TwirlingTeam_Senior_Lower_Level[FINAL SCORE],"&gt;"&amp;Twirling_Group_TwirlingTeam_Senior_Lower_Level[[#This Row],[FINAL SCORE]])+1</calculatedColumnFormula>
    </tableColumn>
    <tableColumn id="39" xr3:uid="{1BC4B919-F202-4BC9-8D1B-3AAAFD439FBD}" name="Category Type" dataDxfId="116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BC6C23B0-216F-40E9-B6AD-332524D060BB}" name="Twirling_Group_TwirlingGroup_Children" displayName="Twirling_Group_TwirlingGroup_Children" ref="A1:AJ3" totalsRowShown="0" headerRowDxfId="77" dataDxfId="76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F91BADC4-EBAC-431C-B5C0-C1D2BD813AFF}" name="Start No." dataDxfId="113"/>
    <tableColumn id="8" xr3:uid="{A86CFC4D-C993-47B8-A9B3-DD3074433946}" name="Lane" dataDxfId="112"/>
    <tableColumn id="9" xr3:uid="{C3FA2ACD-90CE-4AED-A883-E552626C2C39}" name="Category" dataDxfId="111"/>
    <tableColumn id="32" xr3:uid="{CA1142B1-5593-479A-BAC4-2EEDAC855381}" name="Age_x000a_Division" dataDxfId="110"/>
    <tableColumn id="40" xr3:uid="{F076B603-8CE7-4EE8-A2A1-22CB552B7A4E}" name="Level" dataDxfId="109"/>
    <tableColumn id="4" xr3:uid="{006A370C-5EF1-4149-8518-DB765014F18E}" name="Athlete" dataDxfId="108"/>
    <tableColumn id="38" xr3:uid="{72D3A093-5C0C-44B1-B5A9-80FE81705B01}" name="Club" dataDxfId="107"/>
    <tableColumn id="37" xr3:uid="{8C5F4838-8BCB-4E54-A5E0-51CDC8DE33FC}" name="Country" dataDxfId="106"/>
    <tableColumn id="15" xr3:uid="{145D701B-7C24-41ED-A3BB-01E13106E0C4}" name="Judge 1_x000a_Tamara Beljak" dataDxfId="105"/>
    <tableColumn id="33" xr3:uid="{3AB7C3F2-B0A3-4713-B323-D6194029C58E}" name="J1 (-)" dataDxfId="104"/>
    <tableColumn id="26" xr3:uid="{8F4D3DF0-F587-4C95-99AD-74966333B456}" name="J1 TOTAL" dataDxfId="103">
      <calculatedColumnFormula>Twirling_Group_TwirlingGroup_Children[[#This Row],[Judge 1
Tamara Beljak]]-J2</calculatedColumnFormula>
    </tableColumn>
    <tableColumn id="3" xr3:uid="{802E8C53-559A-418A-9809-B875A3310D27}" name="J1 (Rank)" dataDxfId="102">
      <calculatedColumnFormula>COUNTIFS(Twirling_Group_TwirlingGroup_Children[Age
Division],Twirling_Group_TwirlingGroup_Children[[#This Row],[Age
Division]],Twirling_Group_TwirlingGroup_Children[Category],Twirling_Group_TwirlingGroup_Children[[#This Row],[Category]],Twirling_Group_TwirlingGroup_Children[J1 TOTAL],"&gt;"&amp;Twirling_Group_TwirlingGroup_Children[[#This Row],[J1 TOTAL]])+1</calculatedColumnFormula>
    </tableColumn>
    <tableColumn id="16" xr3:uid="{21F670B4-2127-49EB-A3FE-07D74FB85BCF}" name="Judge 2_x000a_Tihomir Bendelja" dataDxfId="101"/>
    <tableColumn id="34" xr3:uid="{1A5A4E80-B5B0-4606-B0B9-ECF38C4B6E71}" name="J2 (-)" dataDxfId="100"/>
    <tableColumn id="28" xr3:uid="{6406D486-3AE8-4075-AD78-E9550A5F749E}" name="J2 TOTAL" dataDxfId="99">
      <calculatedColumnFormula>Twirling_Group_TwirlingGroup_Children[[#This Row],[Judge 2
Tihomir Bendelja]]-Twirling_Group_TwirlingGroup_Children[[#This Row],[J2 (-)]]</calculatedColumnFormula>
    </tableColumn>
    <tableColumn id="5" xr3:uid="{79EB03D2-753D-4898-825F-34918D82AA78}" name="J2 (Rank)" dataDxfId="98">
      <calculatedColumnFormula>COUNTIFS(Twirling_Group_TwirlingGroup_Children[Age
Division],Twirling_Group_TwirlingGroup_Children[[#This Row],[Age
Division]],Twirling_Group_TwirlingGroup_Children[Category],Twirling_Group_TwirlingGroup_Children[[#This Row],[Category]],Twirling_Group_TwirlingGroup_Children[J2 TOTAL],"&gt;"&amp;Twirling_Group_TwirlingGroup_Children[[#This Row],[J2 TOTAL]])+1</calculatedColumnFormula>
    </tableColumn>
    <tableColumn id="17" xr3:uid="{E2F7455D-C906-4E22-BCA8-04019EA81733}" name="Judge 3_x000a_Tea Softić" dataDxfId="97"/>
    <tableColumn id="35" xr3:uid="{E60A87DE-F913-4237-B726-CCDCA48ACCE5}" name="J3 (-)" dataDxfId="96"/>
    <tableColumn id="30" xr3:uid="{B117E2CB-773C-4ADC-B565-690BF12A672F}" name="J3 TOTAL" dataDxfId="95">
      <calculatedColumnFormula>Twirling_Group_TwirlingGroup_Children[[#This Row],[Judge 3
Tea Softić]]-R2</calculatedColumnFormula>
    </tableColumn>
    <tableColumn id="6" xr3:uid="{BC4C0004-2276-497B-B20E-7E1804A7CFD3}" name="J3 (Rank)" dataDxfId="94">
      <calculatedColumnFormula>COUNTIFS(Twirling_Group_TwirlingGroup_Children[Age
Division],Twirling_Group_TwirlingGroup_Children[[#This Row],[Age
Division]],Twirling_Group_TwirlingGroup_Children[Category],Twirling_Group_TwirlingGroup_Children[[#This Row],[Category]],Twirling_Group_TwirlingGroup_Children[J3 TOTAL],"&gt;"&amp;Twirling_Group_TwirlingGroup_Children[[#This Row],[J3 TOTAL]])+1</calculatedColumnFormula>
    </tableColumn>
    <tableColumn id="18" xr3:uid="{0BC5386E-0D27-4459-AF62-97DD6C0B8C73}" name="Judge 4_x000a_Bernard Barač" dataDxfId="93"/>
    <tableColumn id="36" xr3:uid="{6BBFB4E4-400B-417E-AE61-214545FBEFBE}" name="J4 (-)" dataDxfId="92"/>
    <tableColumn id="31" xr3:uid="{7C3CCDD8-73F1-481B-8F0F-9368073E2BDD}" name="J4 TOTAL" dataDxfId="91">
      <calculatedColumnFormula>Twirling_Group_TwirlingGroup_Children[[#This Row],[Judge 4
Bernard Barač]]-V2</calculatedColumnFormula>
    </tableColumn>
    <tableColumn id="7" xr3:uid="{25ECD843-73A2-4E6D-A9EE-4132D8C16763}" name="J4 (Rank)" dataDxfId="90">
      <calculatedColumnFormula>COUNTIFS(Twirling_Group_TwirlingGroup_Children[Age
Division],Twirling_Group_TwirlingGroup_Children[[#This Row],[Age
Division]],Twirling_Group_TwirlingGroup_Children[Category],Twirling_Group_TwirlingGroup_Children[[#This Row],[Category]],Twirling_Group_TwirlingGroup_Children[J4 TOTAL],"&gt;"&amp;Twirling_Group_TwirlingGroup_Children[[#This Row],[J4 TOTAL]])+1</calculatedColumnFormula>
    </tableColumn>
    <tableColumn id="12" xr3:uid="{00F9E08E-C261-4D4F-B26D-2B5DDDEB8445}" name="Judge 5_x000a_Barbara Novina" dataDxfId="89"/>
    <tableColumn id="11" xr3:uid="{5B5C727B-9B58-49EF-874F-55F455A75A09}" name="J5 (-)" dataDxfId="88"/>
    <tableColumn id="10" xr3:uid="{6471BCFE-CBDD-4CFF-B1AA-CFCA90CDFD7A}" name="J5 TOTAL" dataDxfId="87">
      <calculatedColumnFormula>Twirling_Group_TwirlingGroup_Children[[#This Row],[Judge 5
Barbara Novina]]-Z2</calculatedColumnFormula>
    </tableColumn>
    <tableColumn id="2" xr3:uid="{43A0266C-F45F-4769-95B2-C60DE2E3198F}" name="J5 (Rank)" dataDxfId="86">
      <calculatedColumnFormula>COUNTIFS(Twirling_Group_TwirlingGroup_Children[Age
Division],Twirling_Group_TwirlingGroup_Children[[#This Row],[Age
Division]],Twirling_Group_TwirlingGroup_Children[Category],Twirling_Group_TwirlingGroup_Children[[#This Row],[Category]],Twirling_Group_TwirlingGroup_Children[J5 TOTAL],"&gt;"&amp;Twirling_Group_TwirlingGroup_Children[[#This Row],[J5 TOTAL]])+1</calculatedColumnFormula>
    </tableColumn>
    <tableColumn id="20" xr3:uid="{C967B1E9-F5B2-4418-8978-38F1B3F09A47}" name="Total" dataDxfId="85">
      <calculatedColumnFormula>SUM(Twirling_Group_TwirlingGroup_Children[[#This Row],[J1 TOTAL]]+Twirling_Group_TwirlingGroup_Children[[#This Row],[J2 TOTAL]]+Twirling_Group_TwirlingGroup_Children[[#This Row],[J3 TOTAL]]+Twirling_Group_TwirlingGroup_Children[[#This Row],[J4 TOTAL]])+Twirling_Group_TwirlingGroup_Children[[#This Row],[J5 TOTAL]]</calculatedColumnFormula>
    </tableColumn>
    <tableColumn id="23" xr3:uid="{7BE342A8-FC7B-4264-BD8B-D8B72E7D1CB6}" name="Low" dataDxfId="84">
      <calculatedColumnFormula>MIN(Twirling_Group_TwirlingGroup_Children[[#This Row],[J1 TOTAL]],Twirling_Group_TwirlingGroup_Children[[#This Row],[J3 TOTAL]],Twirling_Group_TwirlingGroup_Children[[#This Row],[J4 TOTAL]],Twirling_Group_TwirlingGroup_Children[[#This Row],[J5 TOTAL]])</calculatedColumnFormula>
    </tableColumn>
    <tableColumn id="19" xr3:uid="{754ED3FB-5623-4FF0-B51C-580242D4EE82}" name="High" dataDxfId="83">
      <calculatedColumnFormula>MAX(Twirling_Group_TwirlingGroup_Children[[#This Row],[J1 TOTAL]],Twirling_Group_TwirlingGroup_Children[[#This Row],[J2 TOTAL]],Twirling_Group_TwirlingGroup_Children[[#This Row],[J3 TOTAL]],Twirling_Group_TwirlingGroup_Children[[#This Row],[J4 TOTAL]],Twirling_Group_TwirlingGroup_Children[[#This Row],[J5 TOTAL]])</calculatedColumnFormula>
    </tableColumn>
    <tableColumn id="25" xr3:uid="{98074460-4372-4549-BA1D-B38A4CB4BF48}" name="Final Total" dataDxfId="82">
      <calculatedColumnFormula>SUM(Twirling_Group_TwirlingGroup_Children[[#This Row],[Total]]-Twirling_Group_TwirlingGroup_Children[[#This Row],[Low]]-Twirling_Group_TwirlingGroup_Children[[#This Row],[High]])</calculatedColumnFormula>
    </tableColumn>
    <tableColumn id="24" xr3:uid="{A94D1199-35FD-4117-B1F5-BEFBFC528662}" name="Avg" dataDxfId="81">
      <calculatedColumnFormula>AVERAGE(I2,M2,Q2,U2,Y2)</calculatedColumnFormula>
    </tableColumn>
    <tableColumn id="22" xr3:uid="{5271BE28-674F-4250-B1E3-FDCFD4AF1D95}" name="FINAL SCORE" dataDxfId="80">
      <calculatedColumnFormula>Twirling_Group_TwirlingGroup_Children[[#This Row],[Final Total]]</calculatedColumnFormula>
    </tableColumn>
    <tableColumn id="27" xr3:uid="{D72D913B-A293-44B1-B463-0383676591EA}" name="Rank" dataDxfId="79">
      <calculatedColumnFormula>COUNTIFS(Twirling_Group_TwirlingGroup_Children[Age
Division],Twirling_Group_TwirlingGroup_Children[[#This Row],[Age
Division]],Twirling_Group_TwirlingGroup_Children[Category],Twirling_Group_TwirlingGroup_Children[[#This Row],[Category]],Twirling_Group_TwirlingGroup_Children[FINAL SCORE],"&gt;"&amp;Twirling_Group_TwirlingGroup_Children[[#This Row],[FINAL SCORE]])+1</calculatedColumnFormula>
    </tableColumn>
    <tableColumn id="39" xr3:uid="{F89207B4-738F-45EC-B4F2-2F0DA9616DCD}" name="Category Type" dataDxfId="78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D5245B9B-A755-434F-8CD7-1015DF706E01}" name="Twirling_Group_TwirlingGroup_Cadet" displayName="Twirling_Group_TwirlingGroup_Cadet" ref="A1:AJ3" totalsRowShown="0" headerRowDxfId="39" dataDxfId="38">
  <autoFilter ref="A1:AJ3" xr:uid="{042C9DAD-4CB0-4D2A-8C87-3D9863992DF4}"/>
  <sortState xmlns:xlrd2="http://schemas.microsoft.com/office/spreadsheetml/2017/richdata2" ref="A2:AJ3">
    <sortCondition ref="AI1:AI3"/>
  </sortState>
  <tableColumns count="36">
    <tableColumn id="1" xr3:uid="{6C4EC637-9109-4455-89E4-A3E941E488E0}" name="Start No." dataDxfId="75"/>
    <tableColumn id="8" xr3:uid="{1C47ED6F-9A34-40F0-B903-F583F36CD489}" name="Lane" dataDxfId="74"/>
    <tableColumn id="9" xr3:uid="{87B9243E-3FB9-410C-B6FC-576CA9E95258}" name="Category" dataDxfId="73"/>
    <tableColumn id="32" xr3:uid="{71245E5D-BEEB-44E8-B84D-E34FF493DADA}" name="Age_x000a_Division" dataDxfId="72"/>
    <tableColumn id="40" xr3:uid="{6B203429-DDFF-48DF-9CE9-FCF3711EF38D}" name="Level" dataDxfId="71"/>
    <tableColumn id="4" xr3:uid="{318012DD-B5E1-42EA-8A66-D9BD23768CC4}" name="Athlete" dataDxfId="70"/>
    <tableColumn id="38" xr3:uid="{B6995EAB-AFB5-41C3-A385-CEB332050E21}" name="Club" dataDxfId="69"/>
    <tableColumn id="37" xr3:uid="{DAA9FDCE-CACC-4D22-B7A6-EF5A9388D608}" name="Country" dataDxfId="68"/>
    <tableColumn id="15" xr3:uid="{728228F6-BCDF-4E8A-BCDB-154A3675FD39}" name="Judge 1_x000a_Tamara Beljak" dataDxfId="67"/>
    <tableColumn id="33" xr3:uid="{BFF533D7-AD12-4AD4-94FB-D7C66292E45B}" name="J1 (-)" dataDxfId="66"/>
    <tableColumn id="26" xr3:uid="{12BC761F-BA03-4ED7-8BE1-D3CD9CE35439}" name="J1 TOTAL" dataDxfId="65">
      <calculatedColumnFormula>Twirling_Group_TwirlingGroup_Cadet[[#This Row],[Judge 1
Tamara Beljak]]-J2</calculatedColumnFormula>
    </tableColumn>
    <tableColumn id="3" xr3:uid="{B51E021A-02ED-4386-B5F1-8863E819244C}" name="J1 (Rank)" dataDxfId="64">
      <calculatedColumnFormula>COUNTIFS(Twirling_Group_TwirlingGroup_Cadet[Age
Division],Twirling_Group_TwirlingGroup_Cadet[[#This Row],[Age
Division]],Twirling_Group_TwirlingGroup_Cadet[Category],Twirling_Group_TwirlingGroup_Cadet[[#This Row],[Category]],Twirling_Group_TwirlingGroup_Cadet[J1 TOTAL],"&gt;"&amp;Twirling_Group_TwirlingGroup_Cadet[[#This Row],[J1 TOTAL]])+1</calculatedColumnFormula>
    </tableColumn>
    <tableColumn id="16" xr3:uid="{94DEB306-A010-4329-8E3A-C60FBF75A0A6}" name="Judge 2_x000a_Tihomir Bendelja" dataDxfId="63"/>
    <tableColumn id="34" xr3:uid="{C71D311C-888D-4818-9E31-0FB5643925E6}" name="J2 (-)" dataDxfId="62"/>
    <tableColumn id="28" xr3:uid="{E00F012A-A9CA-4658-8912-BEEBB6B69C95}" name="J2 TOTAL" dataDxfId="61">
      <calculatedColumnFormula>Twirling_Group_TwirlingGroup_Cadet[[#This Row],[Judge 2
Tihomir Bendelja]]-Twirling_Group_TwirlingGroup_Cadet[[#This Row],[J2 (-)]]</calculatedColumnFormula>
    </tableColumn>
    <tableColumn id="5" xr3:uid="{44A5899A-8615-4262-9EF5-60CE21818602}" name="J2 (Rank)" dataDxfId="60">
      <calculatedColumnFormula>COUNTIFS(Twirling_Group_TwirlingGroup_Cadet[Age
Division],Twirling_Group_TwirlingGroup_Cadet[[#This Row],[Age
Division]],Twirling_Group_TwirlingGroup_Cadet[Category],Twirling_Group_TwirlingGroup_Cadet[[#This Row],[Category]],Twirling_Group_TwirlingGroup_Cadet[J2 TOTAL],"&gt;"&amp;Twirling_Group_TwirlingGroup_Cadet[[#This Row],[J2 TOTAL]])+1</calculatedColumnFormula>
    </tableColumn>
    <tableColumn id="17" xr3:uid="{B36FF421-578C-47B3-91AE-2825423EBAA9}" name="Judge 3_x000a_Tea Softić" dataDxfId="59"/>
    <tableColumn id="35" xr3:uid="{640054F0-C91E-42BC-BC15-DA8F0C8FCFEC}" name="J3 (-)" dataDxfId="58"/>
    <tableColumn id="30" xr3:uid="{9D40B0D2-82E4-4F17-A84F-D0173827F253}" name="J3 TOTAL" dataDxfId="57">
      <calculatedColumnFormula>Twirling_Group_TwirlingGroup_Cadet[[#This Row],[Judge 3
Tea Softić]]-R2</calculatedColumnFormula>
    </tableColumn>
    <tableColumn id="6" xr3:uid="{30604595-1E83-40DD-91EB-FBC13C45B509}" name="J3 (Rank)" dataDxfId="56">
      <calculatedColumnFormula>COUNTIFS(Twirling_Group_TwirlingGroup_Cadet[Age
Division],Twirling_Group_TwirlingGroup_Cadet[[#This Row],[Age
Division]],Twirling_Group_TwirlingGroup_Cadet[Category],Twirling_Group_TwirlingGroup_Cadet[[#This Row],[Category]],Twirling_Group_TwirlingGroup_Cadet[J3 TOTAL],"&gt;"&amp;Twirling_Group_TwirlingGroup_Cadet[[#This Row],[J3 TOTAL]])+1</calculatedColumnFormula>
    </tableColumn>
    <tableColumn id="18" xr3:uid="{B7B451AB-697F-4F98-9B76-B61B30FA61E2}" name="Judge 4_x000a_Bernard Barač" dataDxfId="55"/>
    <tableColumn id="36" xr3:uid="{F2856B8D-C8DF-49C1-B872-8920FC442BC9}" name="J4 (-)" dataDxfId="54"/>
    <tableColumn id="31" xr3:uid="{97EF5C0A-4004-40EF-A4F0-B97989DB2B74}" name="J4 TOTAL" dataDxfId="53">
      <calculatedColumnFormula>Twirling_Group_TwirlingGroup_Cadet[[#This Row],[Judge 4
Bernard Barač]]-V2</calculatedColumnFormula>
    </tableColumn>
    <tableColumn id="7" xr3:uid="{91D5AE63-1E7F-43C8-9FB9-4C5B8BBCD8D3}" name="J4 (Rank)" dataDxfId="52">
      <calculatedColumnFormula>COUNTIFS(Twirling_Group_TwirlingGroup_Cadet[Age
Division],Twirling_Group_TwirlingGroup_Cadet[[#This Row],[Age
Division]],Twirling_Group_TwirlingGroup_Cadet[Category],Twirling_Group_TwirlingGroup_Cadet[[#This Row],[Category]],Twirling_Group_TwirlingGroup_Cadet[J4 TOTAL],"&gt;"&amp;Twirling_Group_TwirlingGroup_Cadet[[#This Row],[J4 TOTAL]])+1</calculatedColumnFormula>
    </tableColumn>
    <tableColumn id="12" xr3:uid="{7DC77356-B6E3-4CB4-8090-91AEA28FE5F0}" name="Judge 5_x000a_Barbara Novina" dataDxfId="51"/>
    <tableColumn id="11" xr3:uid="{A55E1A30-0807-49F3-AD23-FF50264006F9}" name="J5 (-)" dataDxfId="50"/>
    <tableColumn id="10" xr3:uid="{32077FD6-B92C-453A-8A42-99AF3F416FAB}" name="J5 TOTAL" dataDxfId="49">
      <calculatedColumnFormula>Twirling_Group_TwirlingGroup_Cadet[[#This Row],[Judge 5
Barbara Novina]]-Z2</calculatedColumnFormula>
    </tableColumn>
    <tableColumn id="2" xr3:uid="{9CB10626-5724-49ED-A463-F1A76DDC4B9C}" name="J5 (Rank)" dataDxfId="48">
      <calculatedColumnFormula>COUNTIFS(Twirling_Group_TwirlingGroup_Cadet[Age
Division],Twirling_Group_TwirlingGroup_Cadet[[#This Row],[Age
Division]],Twirling_Group_TwirlingGroup_Cadet[Category],Twirling_Group_TwirlingGroup_Cadet[[#This Row],[Category]],Twirling_Group_TwirlingGroup_Cadet[J5 TOTAL],"&gt;"&amp;Twirling_Group_TwirlingGroup_Cadet[[#This Row],[J5 TOTAL]])+1</calculatedColumnFormula>
    </tableColumn>
    <tableColumn id="20" xr3:uid="{EC3973C8-E52E-42BC-929A-2640A033F301}" name="Total" dataDxfId="47">
      <calculatedColumnFormula>SUM(Twirling_Group_TwirlingGroup_Cadet[[#This Row],[J1 TOTAL]]+Twirling_Group_TwirlingGroup_Cadet[[#This Row],[J2 TOTAL]]+Twirling_Group_TwirlingGroup_Cadet[[#This Row],[J3 TOTAL]]+Twirling_Group_TwirlingGroup_Cadet[[#This Row],[J4 TOTAL]])+Twirling_Group_TwirlingGroup_Cadet[[#This Row],[J5 TOTAL]]</calculatedColumnFormula>
    </tableColumn>
    <tableColumn id="23" xr3:uid="{01273767-746D-4796-AF24-DAF830AF2CBB}" name="Low" dataDxfId="46">
      <calculatedColumnFormula>MIN(Twirling_Group_TwirlingGroup_Cadet[[#This Row],[J1 TOTAL]],Twirling_Group_TwirlingGroup_Cadet[[#This Row],[J3 TOTAL]],Twirling_Group_TwirlingGroup_Cadet[[#This Row],[J4 TOTAL]],Twirling_Group_TwirlingGroup_Cadet[[#This Row],[J5 TOTAL]])</calculatedColumnFormula>
    </tableColumn>
    <tableColumn id="19" xr3:uid="{5798012B-F7C6-41EF-B49E-49AC9CDB2E6B}" name="High" dataDxfId="45">
      <calculatedColumnFormula>MAX(Twirling_Group_TwirlingGroup_Cadet[[#This Row],[J1 TOTAL]],Twirling_Group_TwirlingGroup_Cadet[[#This Row],[J2 TOTAL]],Twirling_Group_TwirlingGroup_Cadet[[#This Row],[J3 TOTAL]],Twirling_Group_TwirlingGroup_Cadet[[#This Row],[J4 TOTAL]],Twirling_Group_TwirlingGroup_Cadet[[#This Row],[J5 TOTAL]])</calculatedColumnFormula>
    </tableColumn>
    <tableColumn id="25" xr3:uid="{91536D79-6F97-4172-B53E-ED561DDE6B85}" name="Final Total" dataDxfId="44">
      <calculatedColumnFormula>SUM(Twirling_Group_TwirlingGroup_Cadet[[#This Row],[Total]]-Twirling_Group_TwirlingGroup_Cadet[[#This Row],[Low]]-Twirling_Group_TwirlingGroup_Cadet[[#This Row],[High]])</calculatedColumnFormula>
    </tableColumn>
    <tableColumn id="24" xr3:uid="{E6F90394-968A-4E7E-A6D3-FE950B01FB6C}" name="Avg" dataDxfId="43">
      <calculatedColumnFormula>AVERAGE(I2,M2,Q2,U2,Y2)</calculatedColumnFormula>
    </tableColumn>
    <tableColumn id="22" xr3:uid="{A074EEE0-41D5-48CA-B0C9-78D4C9381566}" name="FINAL SCORE" dataDxfId="42">
      <calculatedColumnFormula>Twirling_Group_TwirlingGroup_Cadet[[#This Row],[Final Total]]</calculatedColumnFormula>
    </tableColumn>
    <tableColumn id="27" xr3:uid="{A0B21511-5642-4D60-91A9-D15360DEB895}" name="Rank" dataDxfId="41">
      <calculatedColumnFormula>COUNTIFS(Twirling_Group_TwirlingGroup_Cadet[Age
Division],Twirling_Group_TwirlingGroup_Cadet[[#This Row],[Age
Division]],Twirling_Group_TwirlingGroup_Cadet[Category],Twirling_Group_TwirlingGroup_Cadet[[#This Row],[Category]],Twirling_Group_TwirlingGroup_Cadet[FINAL SCORE],"&gt;"&amp;Twirling_Group_TwirlingGroup_Cadet[[#This Row],[FINAL SCORE]])+1</calculatedColumnFormula>
    </tableColumn>
    <tableColumn id="39" xr3:uid="{5AB4E096-18B8-45E3-98B1-0B279D411B53}" name="Category Type" dataDxfId="40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C6BFD0A-8AA3-40BA-AD20-4D8C4F6882A3}" name="Twirling_Group_TwirlingGroup_Senior" displayName="Twirling_Group_TwirlingGroup_Senior" ref="A1:AJ2" totalsRowShown="0" headerRowDxfId="1" dataDxfId="0">
  <autoFilter ref="A1:AJ2" xr:uid="{042C9DAD-4CB0-4D2A-8C87-3D9863992DF4}"/>
  <sortState xmlns:xlrd2="http://schemas.microsoft.com/office/spreadsheetml/2017/richdata2" ref="A2:AJ2">
    <sortCondition ref="AI1:AI2"/>
  </sortState>
  <tableColumns count="36">
    <tableColumn id="1" xr3:uid="{36C81907-7647-426B-A25E-CD802606ADFF}" name="Start No." dataDxfId="37"/>
    <tableColumn id="8" xr3:uid="{3E3988F7-4836-4630-8ABE-22D5EEB6CCB3}" name="Lane" dataDxfId="36"/>
    <tableColumn id="9" xr3:uid="{0C544B9D-E8D8-48AE-A649-AE9A2E9E0F66}" name="Category" dataDxfId="35"/>
    <tableColumn id="32" xr3:uid="{744A5512-97BE-4735-9BB2-AB58181573AA}" name="Age_x000a_Division" dataDxfId="34"/>
    <tableColumn id="40" xr3:uid="{D2A47981-796B-4D1A-B894-8A10E22E02C9}" name="Level" dataDxfId="33"/>
    <tableColumn id="4" xr3:uid="{A8314124-518D-40A1-B5B5-C84EFE32C882}" name="Athlete" dataDxfId="32"/>
    <tableColumn id="38" xr3:uid="{BF662294-D9CE-409A-9D4C-C7805386A05E}" name="Club" dataDxfId="31"/>
    <tableColumn id="37" xr3:uid="{CFE5DE16-FEDD-4D31-BF1B-7B446016E2C3}" name="Country" dataDxfId="30"/>
    <tableColumn id="15" xr3:uid="{917339F2-3D79-4D68-80B6-64FA3272041C}" name="Judge 1_x000a_Tamara Beljak" dataDxfId="29"/>
    <tableColumn id="33" xr3:uid="{84518F22-FBE5-4621-9EA5-BAE58A9CA63D}" name="J1 (-)" dataDxfId="28"/>
    <tableColumn id="26" xr3:uid="{4443E932-A046-4C5D-A38E-5DFF25C10199}" name="J1 TOTAL" dataDxfId="27">
      <calculatedColumnFormula>Twirling_Group_TwirlingGroup_Senior[[#This Row],[Judge 1
Tamara Beljak]]-J2</calculatedColumnFormula>
    </tableColumn>
    <tableColumn id="3" xr3:uid="{7980AE93-B71C-45D5-96B6-6A07DC52B302}" name="J1 (Rank)" dataDxfId="26">
      <calculatedColumnFormula>COUNTIFS(Twirling_Group_TwirlingGroup_Senior[Age
Division],Twirling_Group_TwirlingGroup_Senior[[#This Row],[Age
Division]],Twirling_Group_TwirlingGroup_Senior[Category],Twirling_Group_TwirlingGroup_Senior[[#This Row],[Category]],Twirling_Group_TwirlingGroup_Senior[J1 TOTAL],"&gt;"&amp;Twirling_Group_TwirlingGroup_Senior[[#This Row],[J1 TOTAL]])+1</calculatedColumnFormula>
    </tableColumn>
    <tableColumn id="16" xr3:uid="{CE31E91C-312D-4EFC-A05C-00C6B0C165CC}" name="Judge 2_x000a_Tihomir Bendelja" dataDxfId="25"/>
    <tableColumn id="34" xr3:uid="{05DCF49C-8F85-4E59-8D0D-CAD569BA411A}" name="J2 (-)" dataDxfId="24"/>
    <tableColumn id="28" xr3:uid="{2ACC31ED-08B0-4ACB-9D22-71C1B8D9D59F}" name="J2 TOTAL" dataDxfId="23">
      <calculatedColumnFormula>Twirling_Group_TwirlingGroup_Senior[[#This Row],[Judge 2
Tihomir Bendelja]]-Twirling_Group_TwirlingGroup_Senior[[#This Row],[J2 (-)]]</calculatedColumnFormula>
    </tableColumn>
    <tableColumn id="5" xr3:uid="{AAA07C46-9EA2-42DB-9A6B-AE6BCD8A460C}" name="J2 (Rank)" dataDxfId="22">
      <calculatedColumnFormula>COUNTIFS(Twirling_Group_TwirlingGroup_Senior[Age
Division],Twirling_Group_TwirlingGroup_Senior[[#This Row],[Age
Division]],Twirling_Group_TwirlingGroup_Senior[Category],Twirling_Group_TwirlingGroup_Senior[[#This Row],[Category]],Twirling_Group_TwirlingGroup_Senior[J2 TOTAL],"&gt;"&amp;Twirling_Group_TwirlingGroup_Senior[[#This Row],[J2 TOTAL]])+1</calculatedColumnFormula>
    </tableColumn>
    <tableColumn id="17" xr3:uid="{A9E88A45-0A1D-42A3-88EB-17A07B3D5F1A}" name="Judge 3_x000a_Tea Softić" dataDxfId="21"/>
    <tableColumn id="35" xr3:uid="{5459AFFC-675B-4711-9227-ED60DDC3C14A}" name="J3 (-)" dataDxfId="20"/>
    <tableColumn id="30" xr3:uid="{75D6FCCB-CECC-4E27-9B1B-003D6FF93944}" name="J3 TOTAL" dataDxfId="19">
      <calculatedColumnFormula>Twirling_Group_TwirlingGroup_Senior[[#This Row],[Judge 3
Tea Softić]]-R2</calculatedColumnFormula>
    </tableColumn>
    <tableColumn id="6" xr3:uid="{4D4EA927-AA67-495D-9951-93E6648BB958}" name="J3 (Rank)" dataDxfId="18">
      <calculatedColumnFormula>COUNTIFS(Twirling_Group_TwirlingGroup_Senior[Age
Division],Twirling_Group_TwirlingGroup_Senior[[#This Row],[Age
Division]],Twirling_Group_TwirlingGroup_Senior[Category],Twirling_Group_TwirlingGroup_Senior[[#This Row],[Category]],Twirling_Group_TwirlingGroup_Senior[J3 TOTAL],"&gt;"&amp;Twirling_Group_TwirlingGroup_Senior[[#This Row],[J3 TOTAL]])+1</calculatedColumnFormula>
    </tableColumn>
    <tableColumn id="18" xr3:uid="{EF7C4DE4-1E96-48BA-AA19-6BF6C23C1E67}" name="Judge 4_x000a_Bernard Barač" dataDxfId="17"/>
    <tableColumn id="36" xr3:uid="{73424A49-26E7-469A-A580-D01DD1E8C3F7}" name="J4 (-)" dataDxfId="16"/>
    <tableColumn id="31" xr3:uid="{C829F317-B177-474B-B3E4-0A0A9F6AA53A}" name="J4 TOTAL" dataDxfId="15">
      <calculatedColumnFormula>Twirling_Group_TwirlingGroup_Senior[[#This Row],[Judge 4
Bernard Barač]]-V2</calculatedColumnFormula>
    </tableColumn>
    <tableColumn id="7" xr3:uid="{B63C9DAE-9154-4CEC-BACF-268AD79A3D06}" name="J4 (Rank)" dataDxfId="14">
      <calculatedColumnFormula>COUNTIFS(Twirling_Group_TwirlingGroup_Senior[Age
Division],Twirling_Group_TwirlingGroup_Senior[[#This Row],[Age
Division]],Twirling_Group_TwirlingGroup_Senior[Category],Twirling_Group_TwirlingGroup_Senior[[#This Row],[Category]],Twirling_Group_TwirlingGroup_Senior[J4 TOTAL],"&gt;"&amp;Twirling_Group_TwirlingGroup_Senior[[#This Row],[J4 TOTAL]])+1</calculatedColumnFormula>
    </tableColumn>
    <tableColumn id="12" xr3:uid="{E9CD8603-24DA-464A-8C81-2E0E1EF712DA}" name="Judge 5_x000a_Barbara Novina" dataDxfId="13"/>
    <tableColumn id="11" xr3:uid="{541B16BB-C127-457D-982C-5E0F5982025C}" name="J5 (-)" dataDxfId="12"/>
    <tableColumn id="10" xr3:uid="{65070FBF-FDB0-4206-9021-DB44A40F8BB3}" name="J5 TOTAL" dataDxfId="11">
      <calculatedColumnFormula>Twirling_Group_TwirlingGroup_Senior[[#This Row],[Judge 5
Barbara Novina]]-Z2</calculatedColumnFormula>
    </tableColumn>
    <tableColumn id="2" xr3:uid="{8E9C7252-EDAC-4F7F-AF05-0E5E4324A1BF}" name="J5 (Rank)" dataDxfId="10">
      <calculatedColumnFormula>COUNTIFS(Twirling_Group_TwirlingGroup_Senior[Age
Division],Twirling_Group_TwirlingGroup_Senior[[#This Row],[Age
Division]],Twirling_Group_TwirlingGroup_Senior[Category],Twirling_Group_TwirlingGroup_Senior[[#This Row],[Category]],Twirling_Group_TwirlingGroup_Senior[J5 TOTAL],"&gt;"&amp;Twirling_Group_TwirlingGroup_Senior[[#This Row],[J5 TOTAL]])+1</calculatedColumnFormula>
    </tableColumn>
    <tableColumn id="20" xr3:uid="{B6F862FB-499E-45DD-B488-583F77C50090}" name="Total" dataDxfId="9">
      <calculatedColumnFormula>SUM(Twirling_Group_TwirlingGroup_Senior[[#This Row],[J1 TOTAL]]+Twirling_Group_TwirlingGroup_Senior[[#This Row],[J2 TOTAL]]+Twirling_Group_TwirlingGroup_Senior[[#This Row],[J3 TOTAL]]+Twirling_Group_TwirlingGroup_Senior[[#This Row],[J4 TOTAL]])+Twirling_Group_TwirlingGroup_Senior[[#This Row],[J5 TOTAL]]</calculatedColumnFormula>
    </tableColumn>
    <tableColumn id="23" xr3:uid="{3B5F7990-F19E-4E15-AB5A-9AB4CD12DC27}" name="Low" dataDxfId="8">
      <calculatedColumnFormula>MIN(Twirling_Group_TwirlingGroup_Senior[[#This Row],[J1 TOTAL]],Twirling_Group_TwirlingGroup_Senior[[#This Row],[J3 TOTAL]],Twirling_Group_TwirlingGroup_Senior[[#This Row],[J4 TOTAL]],Twirling_Group_TwirlingGroup_Senior[[#This Row],[J5 TOTAL]])</calculatedColumnFormula>
    </tableColumn>
    <tableColumn id="19" xr3:uid="{C9808C83-B7F9-4BE6-A0C7-6B40E36F5DDD}" name="High" dataDxfId="7">
      <calculatedColumnFormula>MAX(Twirling_Group_TwirlingGroup_Senior[[#This Row],[J1 TOTAL]],Twirling_Group_TwirlingGroup_Senior[[#This Row],[J2 TOTAL]],Twirling_Group_TwirlingGroup_Senior[[#This Row],[J3 TOTAL]],Twirling_Group_TwirlingGroup_Senior[[#This Row],[J4 TOTAL]],Twirling_Group_TwirlingGroup_Senior[[#This Row],[J5 TOTAL]])</calculatedColumnFormula>
    </tableColumn>
    <tableColumn id="25" xr3:uid="{3BDF318A-7374-446F-B76B-06B6DE62C7E1}" name="Final Total" dataDxfId="6">
      <calculatedColumnFormula>SUM(Twirling_Group_TwirlingGroup_Senior[[#This Row],[Total]]-Twirling_Group_TwirlingGroup_Senior[[#This Row],[Low]]-Twirling_Group_TwirlingGroup_Senior[[#This Row],[High]])</calculatedColumnFormula>
    </tableColumn>
    <tableColumn id="24" xr3:uid="{BCA68C71-3249-47F5-8B2F-00C246AEC2C2}" name="Avg" dataDxfId="5">
      <calculatedColumnFormula>AVERAGE(I2,M2,Q2,U2,Y2)</calculatedColumnFormula>
    </tableColumn>
    <tableColumn id="22" xr3:uid="{52625C8C-9E1B-4541-90AC-8F84C3BDB036}" name="FINAL SCORE" dataDxfId="4">
      <calculatedColumnFormula>Twirling_Group_TwirlingGroup_Senior[[#This Row],[Final Total]]</calculatedColumnFormula>
    </tableColumn>
    <tableColumn id="27" xr3:uid="{68D992DC-F4B5-4150-9F5A-AA7B7E52F35A}" name="Rank" dataDxfId="3">
      <calculatedColumnFormula>COUNTIFS(Twirling_Group_TwirlingGroup_Senior[Age
Division],Twirling_Group_TwirlingGroup_Senior[[#This Row],[Age
Division]],Twirling_Group_TwirlingGroup_Senior[Category],Twirling_Group_TwirlingGroup_Senior[[#This Row],[Category]],Twirling_Group_TwirlingGroup_Senior[FINAL SCORE],"&gt;"&amp;Twirling_Group_TwirlingGroup_Senior[[#This Row],[FINAL SCORE]])+1</calculatedColumnFormula>
    </tableColumn>
    <tableColumn id="39" xr3:uid="{43BB093B-56F8-4535-BD39-F5DD5783F798}" name="Category Type" dataDxfId="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EE52C92-4B1A-46D9-BB32-E93ACC18C2B9}" name="Table_Query_ALL" displayName="Table_Query_ALL" ref="A1:AL177" tableType="queryTable" totalsRowShown="0">
  <autoFilter ref="A1:AL177" xr:uid="{CEE52C92-4B1A-46D9-BB32-E93ACC18C2B9}"/>
  <tableColumns count="38">
    <tableColumn id="1" xr3:uid="{B460C264-C2A5-4DCE-8986-54B85CF005B3}" uniqueName="1" name="Name" queryTableFieldId="1" dataDxfId="1376"/>
    <tableColumn id="2" xr3:uid="{54461290-021A-4471-99C3-87C972374DC0}" uniqueName="2" name="Start No." queryTableFieldId="2"/>
    <tableColumn id="3" xr3:uid="{4A9F665B-76B7-43C5-A3CE-1981024FD8C1}" uniqueName="3" name="Lane" queryTableFieldId="3"/>
    <tableColumn id="4" xr3:uid="{E719F54F-D4F2-4C16-885B-A021F18A1144}" uniqueName="4" name="Category" queryTableFieldId="4" dataDxfId="1375"/>
    <tableColumn id="5" xr3:uid="{AA499CD9-A7FF-4BE2-86D5-F4915DC98983}" uniqueName="5" name="Age_x000a_Division" queryTableFieldId="5" dataDxfId="1374"/>
    <tableColumn id="6" xr3:uid="{35778F78-0A60-4A9C-9DE1-8626509C5D1D}" uniqueName="6" name="Level" queryTableFieldId="6" dataDxfId="1373"/>
    <tableColumn id="7" xr3:uid="{1DAF2FAC-46C4-412A-A625-32DC257FA3DC}" uniqueName="7" name="Athlete" queryTableFieldId="7" dataDxfId="1372"/>
    <tableColumn id="8" xr3:uid="{BB4D084A-7C95-4C90-991B-C570A52BCF6A}" uniqueName="8" name="Club" queryTableFieldId="8" dataDxfId="1371"/>
    <tableColumn id="9" xr3:uid="{3CCCE69B-AFC1-4BA4-99DE-83FE75046F3F}" uniqueName="9" name="Country" queryTableFieldId="9" dataDxfId="1370"/>
    <tableColumn id="10" xr3:uid="{383C2092-426F-4400-B5F7-89FFE30CF41A}" uniqueName="10" name="Judge 1_x000a_Tamara Beljak" queryTableFieldId="10"/>
    <tableColumn id="11" xr3:uid="{A6B62245-AE3A-4251-91B6-3AE707021628}" uniqueName="11" name="J1 (-)" queryTableFieldId="11"/>
    <tableColumn id="12" xr3:uid="{C9CBD29C-C39A-4F9C-9232-55C836CFA338}" uniqueName="12" name="J1 TOTAL" queryTableFieldId="12"/>
    <tableColumn id="13" xr3:uid="{10F1DCFC-03F2-45FE-84E6-423459A24E13}" uniqueName="13" name="J1 (Rank)" queryTableFieldId="13"/>
    <tableColumn id="14" xr3:uid="{E2F5377C-617B-4073-BAE5-48CD82DE7B0E}" uniqueName="14" name="Judge 2_x000a_Tihomir Bendelja" queryTableFieldId="14"/>
    <tableColumn id="15" xr3:uid="{283ED154-9A67-417D-9941-3F83445025BB}" uniqueName="15" name="J2 (-)" queryTableFieldId="15"/>
    <tableColumn id="16" xr3:uid="{830DA49D-B936-4D62-A25C-319798FC2535}" uniqueName="16" name="J2 TOTAL" queryTableFieldId="16"/>
    <tableColumn id="17" xr3:uid="{6710AC20-4858-4726-8B29-551F97933130}" uniqueName="17" name="J2 (Rank)" queryTableFieldId="17"/>
    <tableColumn id="18" xr3:uid="{F088F6C2-5271-451B-9467-54143F1F2412}" uniqueName="18" name="Judge 3_x000a_Tea Softić" queryTableFieldId="18"/>
    <tableColumn id="19" xr3:uid="{32B4F01E-3227-4252-9ECC-3EC6C4130F14}" uniqueName="19" name="J3 (-)" queryTableFieldId="19"/>
    <tableColumn id="20" xr3:uid="{9891EAB2-380B-4156-85A3-4B32C5DD545C}" uniqueName="20" name="J3 TOTAL" queryTableFieldId="20"/>
    <tableColumn id="21" xr3:uid="{D6C15D40-F086-46BA-9466-8058061137C3}" uniqueName="21" name="J3 (Rank)" queryTableFieldId="21"/>
    <tableColumn id="22" xr3:uid="{44A3C904-C1E1-4917-A52A-519DFEF9413F}" uniqueName="22" name="Judge 4_x000a_Bernard Barač" queryTableFieldId="22"/>
    <tableColumn id="23" xr3:uid="{FA8F6E5A-0F14-4602-AD2B-A94A2DC8C870}" uniqueName="23" name="J4 (-)" queryTableFieldId="23"/>
    <tableColumn id="24" xr3:uid="{AE94C351-29E4-4F4D-86CD-F9E00856E147}" uniqueName="24" name="J4 TOTAL" queryTableFieldId="24"/>
    <tableColumn id="25" xr3:uid="{6AACABF3-F815-4EE3-91A5-E61C2C94789F}" uniqueName="25" name="J4 (Rank)" queryTableFieldId="25"/>
    <tableColumn id="26" xr3:uid="{61537F8E-1E0B-4D92-B1B7-7E1126949BB3}" uniqueName="26" name="Judge 5_x000a_Barbara Novina" queryTableFieldId="26"/>
    <tableColumn id="27" xr3:uid="{D47D29FE-6D37-40A7-9DB6-2A90F5F0E9A8}" uniqueName="27" name="J5 (-)" queryTableFieldId="27"/>
    <tableColumn id="28" xr3:uid="{09F23F79-4395-4975-B21C-D27F1B376E28}" uniqueName="28" name="J5 TOTAL" queryTableFieldId="28"/>
    <tableColumn id="29" xr3:uid="{2D363BF5-C1BD-46C6-A312-2D053818245A}" uniqueName="29" name="J5 (Rank)" queryTableFieldId="29"/>
    <tableColumn id="30" xr3:uid="{469D794A-42EB-4153-8172-0C1D7E5252FA}" uniqueName="30" name="Total" queryTableFieldId="30"/>
    <tableColumn id="31" xr3:uid="{A5AB1721-5EBA-48C2-931B-CBF3A9112172}" uniqueName="31" name="Low" queryTableFieldId="31"/>
    <tableColumn id="32" xr3:uid="{E26A649D-7F07-4569-B565-7F65F43E83F3}" uniqueName="32" name="High" queryTableFieldId="32"/>
    <tableColumn id="33" xr3:uid="{59853285-B78A-40A0-8132-7F1D0F376550}" uniqueName="33" name="Final Total" queryTableFieldId="33"/>
    <tableColumn id="34" xr3:uid="{545FD4AD-36FA-42D2-A218-D00F1A262413}" uniqueName="34" name="Avg" queryTableFieldId="34" dataDxfId="1368"/>
    <tableColumn id="35" xr3:uid="{C1110E99-FDEF-4783-A1A8-406EF5C31F32}" uniqueName="35" name="FINAL SCORE" queryTableFieldId="35"/>
    <tableColumn id="36" xr3:uid="{383080EE-369D-46AA-9732-4C56080E5F1B}" uniqueName="36" name="Rank" queryTableFieldId="36"/>
    <tableColumn id="37" xr3:uid="{30A8C0D7-BC80-45A9-B6C4-E4E2278E1954}" uniqueName="37" name="Category Type" queryTableFieldId="37" dataDxfId="1369"/>
    <tableColumn id="38" xr3:uid="{B299BC0D-8F97-47A1-9C07-94CE63B942EB}" uniqueName="38" name="CONSOLIDATED" queryTableFieldId="38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C7B910E-C1BF-43C1-B888-7AFBE37638B8}" name="Twirling_Solo_F1B_Cadet_Intermediate" displayName="Twirling_Solo_F1B_Cadet_Intermediate" ref="A1:AJ4" totalsRowShown="0" headerRowDxfId="1217" dataDxfId="1216">
  <autoFilter ref="A1:AJ4" xr:uid="{042C9DAD-4CB0-4D2A-8C87-3D9863992DF4}"/>
  <sortState xmlns:xlrd2="http://schemas.microsoft.com/office/spreadsheetml/2017/richdata2" ref="A2:AJ4">
    <sortCondition ref="AI1:AI4"/>
  </sortState>
  <tableColumns count="36">
    <tableColumn id="1" xr3:uid="{9399C43B-6ECC-44A0-ABCB-AF57E76036B6}" name="Start No." dataDxfId="1253"/>
    <tableColumn id="8" xr3:uid="{9B0E2E80-6ABE-4027-B551-C20920D9A26D}" name="Lane" dataDxfId="1252"/>
    <tableColumn id="9" xr3:uid="{E131DB31-C1C9-41F5-AB24-86BB2FFD8A9A}" name="Category" dataDxfId="1251"/>
    <tableColumn id="32" xr3:uid="{6766E6CE-7C9C-4049-B4A2-C8D5256A1531}" name="Age_x000a_Division" dataDxfId="1250"/>
    <tableColumn id="40" xr3:uid="{9C08DCCF-FF07-429D-A8AC-77C0F2E26BE5}" name="Level" dataDxfId="1249"/>
    <tableColumn id="4" xr3:uid="{1382B9EF-C14E-48C4-AEA1-0A77A555FA19}" name="Athlete" dataDxfId="1248"/>
    <tableColumn id="38" xr3:uid="{3C8FD425-7135-4CE9-A490-2330F9F70570}" name="Club" dataDxfId="1247"/>
    <tableColumn id="37" xr3:uid="{575DDD9D-8ECA-4EF8-A730-73505EB08D2A}" name="Country" dataDxfId="1246"/>
    <tableColumn id="15" xr3:uid="{6DCF4BA7-0F5A-4CD7-8E0B-CC7A1F88031D}" name="Judge 1_x000a_Tamara Beljak" dataDxfId="1245"/>
    <tableColumn id="33" xr3:uid="{2F5E7C75-F028-4C5C-B8FB-F779D4B842F8}" name="J1 (-)" dataDxfId="1244"/>
    <tableColumn id="26" xr3:uid="{173441DF-FF07-4E65-BB27-CFC3C5A94DA2}" name="J1 TOTAL" dataDxfId="1243">
      <calculatedColumnFormula>Twirling_Solo_F1B_Cadet_Intermediate[[#This Row],[Judge 1
Tamara Beljak]]-J2</calculatedColumnFormula>
    </tableColumn>
    <tableColumn id="3" xr3:uid="{870DB72E-99A3-4BDA-B8C8-A6ABFA5779C7}" name="J1 (Rank)" dataDxfId="1242">
      <calculatedColumnFormula>COUNTIFS(Twirling_Solo_F1B_Cadet_Intermediate[Age
Division],Twirling_Solo_F1B_Cadet_Intermediate[[#This Row],[Age
Division]],Twirling_Solo_F1B_Cadet_Intermediate[Category],Twirling_Solo_F1B_Cadet_Intermediate[[#This Row],[Category]],Twirling_Solo_F1B_Cadet_Intermediate[J1 TOTAL],"&gt;"&amp;Twirling_Solo_F1B_Cadet_Intermediate[[#This Row],[J1 TOTAL]])+1</calculatedColumnFormula>
    </tableColumn>
    <tableColumn id="16" xr3:uid="{DF4C2F04-AD09-44C7-8ADD-5938C1A0BCF4}" name="Judge 2_x000a_Tihomir Bendelja" dataDxfId="1241"/>
    <tableColumn id="34" xr3:uid="{E43CA6B0-8A82-40E9-A5BD-3359F078F556}" name="J2 (-)" dataDxfId="1240"/>
    <tableColumn id="28" xr3:uid="{4DEBB295-98A1-4D99-A87C-6760246741AE}" name="J2 TOTAL" dataDxfId="1239">
      <calculatedColumnFormula>Twirling_Solo_F1B_Cadet_Intermediate[[#This Row],[Judge 2
Tihomir Bendelja]]-Twirling_Solo_F1B_Cadet_Intermediate[[#This Row],[J2 (-)]]</calculatedColumnFormula>
    </tableColumn>
    <tableColumn id="5" xr3:uid="{65733A16-29EF-482B-81E4-1D5BF2902E9C}" name="J2 (Rank)" dataDxfId="1238">
      <calculatedColumnFormula>COUNTIFS(Twirling_Solo_F1B_Cadet_Intermediate[Age
Division],Twirling_Solo_F1B_Cadet_Intermediate[[#This Row],[Age
Division]],Twirling_Solo_F1B_Cadet_Intermediate[Category],Twirling_Solo_F1B_Cadet_Intermediate[[#This Row],[Category]],Twirling_Solo_F1B_Cadet_Intermediate[J2 TOTAL],"&gt;"&amp;Twirling_Solo_F1B_Cadet_Intermediate[[#This Row],[J2 TOTAL]])+1</calculatedColumnFormula>
    </tableColumn>
    <tableColumn id="17" xr3:uid="{452AAF02-D3AF-4D02-A6BA-E1B28D3202FF}" name="Judge 3_x000a_Tea Softić" dataDxfId="1237"/>
    <tableColumn id="35" xr3:uid="{FC06DAFC-E87D-4052-B8F3-205DEEA9D01F}" name="J3 (-)" dataDxfId="1236"/>
    <tableColumn id="30" xr3:uid="{F59B101B-1E38-4856-B47C-FC6FEE91F89E}" name="J3 TOTAL" dataDxfId="1235">
      <calculatedColumnFormula>Twirling_Solo_F1B_Cadet_Intermediate[[#This Row],[Judge 3
Tea Softić]]-R2</calculatedColumnFormula>
    </tableColumn>
    <tableColumn id="6" xr3:uid="{2116D6F3-A244-4042-8EED-787483C8E1CB}" name="J3 (Rank)" dataDxfId="1234">
      <calculatedColumnFormula>COUNTIFS(Twirling_Solo_F1B_Cadet_Intermediate[Age
Division],Twirling_Solo_F1B_Cadet_Intermediate[[#This Row],[Age
Division]],Twirling_Solo_F1B_Cadet_Intermediate[Category],Twirling_Solo_F1B_Cadet_Intermediate[[#This Row],[Category]],Twirling_Solo_F1B_Cadet_Intermediate[J3 TOTAL],"&gt;"&amp;Twirling_Solo_F1B_Cadet_Intermediate[[#This Row],[J3 TOTAL]])+1</calculatedColumnFormula>
    </tableColumn>
    <tableColumn id="18" xr3:uid="{B9C9D0DB-A748-407E-A234-2C6EFEE4C633}" name="Judge 4_x000a_Bernard Barač" dataDxfId="1233"/>
    <tableColumn id="36" xr3:uid="{DEDAF788-1EA9-4090-B389-C0AB32404F48}" name="J4 (-)" dataDxfId="1232"/>
    <tableColumn id="31" xr3:uid="{6967706F-7933-43E0-898A-65E489805957}" name="J4 TOTAL" dataDxfId="1231">
      <calculatedColumnFormula>Twirling_Solo_F1B_Cadet_Intermediate[[#This Row],[Judge 4
Bernard Barač]]-V2</calculatedColumnFormula>
    </tableColumn>
    <tableColumn id="7" xr3:uid="{A401390B-8350-438A-9551-C02C8547B07A}" name="J4 (Rank)" dataDxfId="1230">
      <calculatedColumnFormula>COUNTIFS(Twirling_Solo_F1B_Cadet_Intermediate[Age
Division],Twirling_Solo_F1B_Cadet_Intermediate[[#This Row],[Age
Division]],Twirling_Solo_F1B_Cadet_Intermediate[Category],Twirling_Solo_F1B_Cadet_Intermediate[[#This Row],[Category]],Twirling_Solo_F1B_Cadet_Intermediate[J4 TOTAL],"&gt;"&amp;Twirling_Solo_F1B_Cadet_Intermediate[[#This Row],[J4 TOTAL]])+1</calculatedColumnFormula>
    </tableColumn>
    <tableColumn id="12" xr3:uid="{2B641461-BE01-4F84-8C2B-1F9CFB3F1969}" name="Judge 5_x000a_Barbara Novina" dataDxfId="1229"/>
    <tableColumn id="11" xr3:uid="{6297F660-4D04-46E0-A82F-630C83BF4DF9}" name="J5 (-)" dataDxfId="1228"/>
    <tableColumn id="10" xr3:uid="{C520417F-9FD9-46E6-ADEA-466A32840DDB}" name="J5 TOTAL" dataDxfId="1227">
      <calculatedColumnFormula>Twirling_Solo_F1B_Cadet_Intermediate[[#This Row],[Judge 5
Barbara Novina]]-Y2</calculatedColumnFormula>
    </tableColumn>
    <tableColumn id="2" xr3:uid="{3AA487A5-EE1D-4049-99C9-6139AF862824}" name="J5 (Rank)" dataDxfId="1226">
      <calculatedColumnFormula>COUNTIFS(Twirling_Solo_F1B_Cadet_Intermediate[Age
Division],Twirling_Solo_F1B_Cadet_Intermediate[[#This Row],[Age
Division]],Twirling_Solo_F1B_Cadet_Intermediate[Category],Twirling_Solo_F1B_Cadet_Intermediate[[#This Row],[Category]],Twirling_Solo_F1B_Cadet_Intermediate[J5 TOTAL],"&gt;"&amp;Twirling_Solo_F1B_Cadet_Intermediate[[#This Row],[J5 TOTAL]])+1</calculatedColumnFormula>
    </tableColumn>
    <tableColumn id="20" xr3:uid="{899EDADC-2D3E-4248-9FE2-F64B86B05E97}" name="Total" dataDxfId="1225">
      <calculatedColumnFormula>SUM(Twirling_Solo_F1B_Cadet_Intermediate[[#This Row],[J1 TOTAL]]+Twirling_Solo_F1B_Cadet_Intermediate[[#This Row],[J2 TOTAL]]+Twirling_Solo_F1B_Cadet_Intermediate[[#This Row],[J3 TOTAL]]+Twirling_Solo_F1B_Cadet_Intermediate[[#This Row],[J4 TOTAL]])+Twirling_Solo_F1B_Cadet_Intermediate[[#This Row],[J5 TOTAL]]</calculatedColumnFormula>
    </tableColumn>
    <tableColumn id="23" xr3:uid="{B31631A5-4892-429F-922B-58E19DAAFB4F}" name="Low" dataDxfId="1224"/>
    <tableColumn id="19" xr3:uid="{B7374830-48A9-4216-86F7-7426725ED628}" name="High" dataDxfId="1223"/>
    <tableColumn id="25" xr3:uid="{2A457448-BA13-4919-86FE-87A841D49FE3}" name="Final Total" dataDxfId="1222">
      <calculatedColumnFormula>SUM(Twirling_Solo_F1B_Cadet_Intermediate[[#This Row],[Total]]-Twirling_Solo_F1B_Cadet_Intermediate[[#This Row],[Low]]-Twirling_Solo_F1B_Cadet_Intermediate[[#This Row],[High]])</calculatedColumnFormula>
    </tableColumn>
    <tableColumn id="24" xr3:uid="{1E7CD3DB-0C13-4BA7-82FD-A0D88969FEAF}" name="Avg" dataDxfId="1221">
      <calculatedColumnFormula>AVERAGE(I2,M2,Q2,U2,Y2)</calculatedColumnFormula>
    </tableColumn>
    <tableColumn id="22" xr3:uid="{0BBD4FFF-A5C8-49F5-9737-E5ABEEBB7D0F}" name="FINAL SCORE" dataDxfId="1220">
      <calculatedColumnFormula>Twirling_Solo_F1B_Cadet_Intermediate[[#This Row],[Final Total]]</calculatedColumnFormula>
    </tableColumn>
    <tableColumn id="27" xr3:uid="{466B4BA0-AC22-4B03-9836-EAD3A77C315A}" name="Rank" dataDxfId="1219">
      <calculatedColumnFormula>COUNTIFS(Twirling_Solo_F1B_Cadet_Intermediate[Age
Division],Twirling_Solo_F1B_Cadet_Intermediate[[#This Row],[Age
Division]],Twirling_Solo_F1B_Cadet_Intermediate[Category],Twirling_Solo_F1B_Cadet_Intermediate[[#This Row],[Category]],Twirling_Solo_F1B_Cadet_Intermediate[FINAL SCORE],"&gt;"&amp;Twirling_Solo_F1B_Cadet_Intermediate[[#This Row],[FINAL SCORE]])+1</calculatedColumnFormula>
    </tableColumn>
    <tableColumn id="39" xr3:uid="{070357E6-7C0A-4FEB-922A-240BEE29A62A}" name="Category Type" dataDxfId="1218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E4DC17B-609F-4F21-9631-BBF02C5EFA62}" name="Twirling_Solo_F1B_Junior_Advanced" displayName="Twirling_Solo_F1B_Junior_Advanced" ref="A1:AJ7" totalsRowShown="0" headerRowDxfId="1179" dataDxfId="1178">
  <autoFilter ref="A1:AJ7" xr:uid="{042C9DAD-4CB0-4D2A-8C87-3D9863992DF4}"/>
  <sortState xmlns:xlrd2="http://schemas.microsoft.com/office/spreadsheetml/2017/richdata2" ref="A2:AJ7">
    <sortCondition ref="AI1:AI7"/>
  </sortState>
  <tableColumns count="36">
    <tableColumn id="1" xr3:uid="{B0D44150-F92B-4713-8C34-6D2017E097B7}" name="Start No." dataDxfId="1215"/>
    <tableColumn id="8" xr3:uid="{226FBC71-DDD1-49E8-86AD-FE31EC45640A}" name="Lane" dataDxfId="1214"/>
    <tableColumn id="9" xr3:uid="{E83F0B77-10A6-4498-BE44-5A081F50A12F}" name="Category" dataDxfId="1213"/>
    <tableColumn id="32" xr3:uid="{6C927322-CE83-48CF-B5F1-F285B2E3321E}" name="Age_x000a_Division" dataDxfId="1212"/>
    <tableColumn id="40" xr3:uid="{3350B6A6-C215-400E-B418-B60178D08B36}" name="Level" dataDxfId="1211"/>
    <tableColumn id="4" xr3:uid="{ED444D4A-2AFD-45C3-95EE-3CBA73F8F2DD}" name="Athlete" dataDxfId="1210"/>
    <tableColumn id="38" xr3:uid="{A6F3875E-AD19-4BE0-9BCD-D847CC556AC5}" name="Club" dataDxfId="1209"/>
    <tableColumn id="37" xr3:uid="{96947987-9338-42CF-8BF7-7FA4061464C8}" name="Country" dataDxfId="1208"/>
    <tableColumn id="15" xr3:uid="{A48365EE-F05C-4092-8393-37E3619EFF3A}" name="Judge 1_x000a_Tamara Beljak" dataDxfId="1207"/>
    <tableColumn id="33" xr3:uid="{F2E796F5-AC11-4557-8DE6-F111DBF235B7}" name="J1 (-)" dataDxfId="1206"/>
    <tableColumn id="26" xr3:uid="{7CB644B8-4406-418C-8D6D-EB283E8CC42C}" name="J1 TOTAL" dataDxfId="1205">
      <calculatedColumnFormula>Twirling_Solo_F1B_Junior_Advanced[[#This Row],[Judge 1
Tamara Beljak]]-J2</calculatedColumnFormula>
    </tableColumn>
    <tableColumn id="3" xr3:uid="{077D7708-3520-47DC-B873-13D0FAFC64C4}" name="J1 (Rank)" dataDxfId="1204">
      <calculatedColumnFormula>COUNTIFS(Twirling_Solo_F1B_Junior_Advanced[Age
Division],Twirling_Solo_F1B_Junior_Advanced[[#This Row],[Age
Division]],Twirling_Solo_F1B_Junior_Advanced[Category],Twirling_Solo_F1B_Junior_Advanced[[#This Row],[Category]],Twirling_Solo_F1B_Junior_Advanced[J1 TOTAL],"&gt;"&amp;Twirling_Solo_F1B_Junior_Advanced[[#This Row],[J1 TOTAL]])+1</calculatedColumnFormula>
    </tableColumn>
    <tableColumn id="16" xr3:uid="{68C97AE3-7102-4700-AE29-5E2556AF50B0}" name="Judge 2_x000a_Tihomir Bendelja" dataDxfId="1203"/>
    <tableColumn id="34" xr3:uid="{65DB9544-7010-49D6-90F9-0876081F3CAA}" name="J2 (-)" dataDxfId="1202"/>
    <tableColumn id="28" xr3:uid="{097842A4-69FA-4680-AFFF-8CCB7A5D4444}" name="J2 TOTAL" dataDxfId="1201">
      <calculatedColumnFormula>Twirling_Solo_F1B_Junior_Advanced[[#This Row],[Judge 2
Tihomir Bendelja]]-Twirling_Solo_F1B_Junior_Advanced[[#This Row],[J2 (-)]]</calculatedColumnFormula>
    </tableColumn>
    <tableColumn id="5" xr3:uid="{DDCD9E91-BF1B-4309-A0A8-2C89848745E1}" name="J2 (Rank)" dataDxfId="1200">
      <calculatedColumnFormula>COUNTIFS(Twirling_Solo_F1B_Junior_Advanced[Age
Division],Twirling_Solo_F1B_Junior_Advanced[[#This Row],[Age
Division]],Twirling_Solo_F1B_Junior_Advanced[Category],Twirling_Solo_F1B_Junior_Advanced[[#This Row],[Category]],Twirling_Solo_F1B_Junior_Advanced[J2 TOTAL],"&gt;"&amp;Twirling_Solo_F1B_Junior_Advanced[[#This Row],[J2 TOTAL]])+1</calculatedColumnFormula>
    </tableColumn>
    <tableColumn id="17" xr3:uid="{E682B42C-3587-4E97-B23E-E870AC467C93}" name="Judge 3_x000a_Tea Softić" dataDxfId="1199"/>
    <tableColumn id="35" xr3:uid="{8FE862EB-5D54-4935-8E74-4499CEF1F07A}" name="J3 (-)" dataDxfId="1198"/>
    <tableColumn id="30" xr3:uid="{52107E25-E92C-4FD5-AD54-27F55B33AECB}" name="J3 TOTAL" dataDxfId="1197">
      <calculatedColumnFormula>Twirling_Solo_F1B_Junior_Advanced[[#This Row],[Judge 3
Tea Softić]]-R2</calculatedColumnFormula>
    </tableColumn>
    <tableColumn id="6" xr3:uid="{17A0A060-4316-4CCA-98B2-9F45E762354A}" name="J3 (Rank)" dataDxfId="1196">
      <calculatedColumnFormula>COUNTIFS(Twirling_Solo_F1B_Junior_Advanced[Age
Division],Twirling_Solo_F1B_Junior_Advanced[[#This Row],[Age
Division]],Twirling_Solo_F1B_Junior_Advanced[Category],Twirling_Solo_F1B_Junior_Advanced[[#This Row],[Category]],Twirling_Solo_F1B_Junior_Advanced[J3 TOTAL],"&gt;"&amp;Twirling_Solo_F1B_Junior_Advanced[[#This Row],[J3 TOTAL]])+1</calculatedColumnFormula>
    </tableColumn>
    <tableColumn id="18" xr3:uid="{2373BB4C-8515-48ED-99C1-6AB29E9AA684}" name="Judge 4_x000a_Bernard Barač" dataDxfId="1195"/>
    <tableColumn id="36" xr3:uid="{8C8CCDDD-CDEC-4051-88A2-1EAAF5097513}" name="J4 (-)" dataDxfId="1194"/>
    <tableColumn id="31" xr3:uid="{C0C13F4F-31C6-408F-AF25-C915AC633BD0}" name="J4 TOTAL" dataDxfId="1193">
      <calculatedColumnFormula>Twirling_Solo_F1B_Junior_Advanced[[#This Row],[Judge 4
Bernard Barač]]-V2</calculatedColumnFormula>
    </tableColumn>
    <tableColumn id="7" xr3:uid="{73477A23-885A-45E2-BC51-B85A699ED571}" name="J4 (Rank)" dataDxfId="1192">
      <calculatedColumnFormula>COUNTIFS(Twirling_Solo_F1B_Junior_Advanced[Age
Division],Twirling_Solo_F1B_Junior_Advanced[[#This Row],[Age
Division]],Twirling_Solo_F1B_Junior_Advanced[Category],Twirling_Solo_F1B_Junior_Advanced[[#This Row],[Category]],Twirling_Solo_F1B_Junior_Advanced[J4 TOTAL],"&gt;"&amp;Twirling_Solo_F1B_Junior_Advanced[[#This Row],[J4 TOTAL]])+1</calculatedColumnFormula>
    </tableColumn>
    <tableColumn id="12" xr3:uid="{5809D7A4-D0D6-4949-83FC-DD18BCEC657F}" name="Judge 5_x000a_Barbara Novina" dataDxfId="1191"/>
    <tableColumn id="11" xr3:uid="{2EB7FBAE-F1FA-4FB1-905B-6AE41BE3DCD9}" name="J5 (-)" dataDxfId="1190"/>
    <tableColumn id="10" xr3:uid="{F061000F-08CF-4746-9346-539D66897EA1}" name="J5 TOTAL" dataDxfId="1189">
      <calculatedColumnFormula>Twirling_Solo_F1B_Junior_Advanced[[#This Row],[Judge 5
Barbara Novina]]-Z2</calculatedColumnFormula>
    </tableColumn>
    <tableColumn id="2" xr3:uid="{0CD1DA2D-925B-491F-8F6F-FA5FA256BD1C}" name="J5 (Rank)" dataDxfId="1188">
      <calculatedColumnFormula>COUNTIFS(Twirling_Solo_F1B_Junior_Advanced[Age
Division],Twirling_Solo_F1B_Junior_Advanced[[#This Row],[Age
Division]],Twirling_Solo_F1B_Junior_Advanced[Category],Twirling_Solo_F1B_Junior_Advanced[[#This Row],[Category]],Twirling_Solo_F1B_Junior_Advanced[J5 TOTAL],"&gt;"&amp;Twirling_Solo_F1B_Junior_Advanced[[#This Row],[J5 TOTAL]])+1</calculatedColumnFormula>
    </tableColumn>
    <tableColumn id="20" xr3:uid="{F0A2E164-D970-4716-8D78-27E4639F3E53}" name="Total" dataDxfId="1187">
      <calculatedColumnFormula>SUM(Twirling_Solo_F1B_Junior_Advanced[[#This Row],[J1 TOTAL]]+Twirling_Solo_F1B_Junior_Advanced[[#This Row],[J2 TOTAL]]+Twirling_Solo_F1B_Junior_Advanced[[#This Row],[J3 TOTAL]]+Twirling_Solo_F1B_Junior_Advanced[[#This Row],[J4 TOTAL]])+Twirling_Solo_F1B_Junior_Advanced[[#This Row],[J5 TOTAL]]</calculatedColumnFormula>
    </tableColumn>
    <tableColumn id="23" xr3:uid="{F15C7CF9-C1A8-4855-8BEF-7F3058541581}" name="Low" dataDxfId="1186"/>
    <tableColumn id="19" xr3:uid="{A6A1B563-9774-4BE1-AE30-D566915CAB38}" name="High" dataDxfId="1185"/>
    <tableColumn id="25" xr3:uid="{151C8E07-08E3-48E6-85A0-68E023EB97B2}" name="Final Total" dataDxfId="1184">
      <calculatedColumnFormula>SUM(Twirling_Solo_F1B_Junior_Advanced[[#This Row],[Total]]-Twirling_Solo_F1B_Junior_Advanced[[#This Row],[Low]]-Twirling_Solo_F1B_Junior_Advanced[[#This Row],[High]])</calculatedColumnFormula>
    </tableColumn>
    <tableColumn id="24" xr3:uid="{475E9CA1-8466-41FD-8E7C-AD4948B54B04}" name="Avg" dataDxfId="1183">
      <calculatedColumnFormula>AVERAGE(I2,M2,Q2,U2,Y2)</calculatedColumnFormula>
    </tableColumn>
    <tableColumn id="22" xr3:uid="{4527C3CB-3124-4B8D-AD05-336AE2FF4386}" name="FINAL SCORE" dataDxfId="1182">
      <calculatedColumnFormula>Twirling_Solo_F1B_Junior_Advanced[[#This Row],[Final Total]]</calculatedColumnFormula>
    </tableColumn>
    <tableColumn id="27" xr3:uid="{55F0DAB4-9B12-476C-A55F-5BF1597620FB}" name="Rank" dataDxfId="1181">
      <calculatedColumnFormula>COUNTIFS(Twirling_Solo_F1B_Junior_Advanced[Age
Division],Twirling_Solo_F1B_Junior_Advanced[[#This Row],[Age
Division]],Twirling_Solo_F1B_Junior_Advanced[Category],Twirling_Solo_F1B_Junior_Advanced[[#This Row],[Category]],Twirling_Solo_F1B_Junior_Advanced[FINAL SCORE],"&gt;"&amp;Twirling_Solo_F1B_Junior_Advanced[[#This Row],[FINAL SCORE]])+1</calculatedColumnFormula>
    </tableColumn>
    <tableColumn id="39" xr3:uid="{BE578344-AD94-403F-B55D-483D42D3E0DB}" name="Category Type" dataDxfId="1180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46113C3-E558-4432-BD54-D4E8480CC2BE}" name="Twirling_Solo_F1B_Junior_Intermediate" displayName="Twirling_Solo_F1B_Junior_Intermediate" ref="A1:AJ11" totalsRowShown="0" headerRowDxfId="1141" dataDxfId="1140">
  <autoFilter ref="A1:AJ11" xr:uid="{042C9DAD-4CB0-4D2A-8C87-3D9863992DF4}"/>
  <sortState xmlns:xlrd2="http://schemas.microsoft.com/office/spreadsheetml/2017/richdata2" ref="A2:AJ11">
    <sortCondition ref="AI1:AI11"/>
  </sortState>
  <tableColumns count="36">
    <tableColumn id="1" xr3:uid="{6F2478FE-DD67-4EB3-A92F-4F829957F373}" name="Start No." dataDxfId="1177"/>
    <tableColumn id="8" xr3:uid="{DA846C54-2015-4B13-9446-B8A6DCE980D1}" name="Lane" dataDxfId="1176"/>
    <tableColumn id="9" xr3:uid="{23807E98-24E4-4AAA-AFAC-19E0572CD138}" name="Category" dataDxfId="1175"/>
    <tableColumn id="32" xr3:uid="{D003BF46-559A-45F7-A5AB-19709E1F3F89}" name="Age_x000a_Division" dataDxfId="1174"/>
    <tableColumn id="40" xr3:uid="{55014662-24B1-4E17-BC4B-3A6F9ACA6663}" name="Level" dataDxfId="1173"/>
    <tableColumn id="4" xr3:uid="{0B7034D7-4FB5-46FE-BE22-ADCDD3E5E90C}" name="Athlete" dataDxfId="1172"/>
    <tableColumn id="38" xr3:uid="{3A87A862-8DD3-42AB-8D54-7178AF2AC544}" name="Club" dataDxfId="1171"/>
    <tableColumn id="37" xr3:uid="{79228CF1-BBE7-4A7F-8B33-AACCFAE05C71}" name="Country" dataDxfId="1170"/>
    <tableColumn id="15" xr3:uid="{511DD460-3C8D-4679-84DE-385883669D39}" name="Judge 1_x000a_Tamara Beljak" dataDxfId="1169"/>
    <tableColumn id="33" xr3:uid="{11354593-46DA-4CFA-9BEE-AE597A7C868E}" name="J1 (-)" dataDxfId="1168"/>
    <tableColumn id="26" xr3:uid="{4B728CCF-6675-4850-978D-FEDB267CEDCB}" name="J1 TOTAL" dataDxfId="1167">
      <calculatedColumnFormula>Twirling_Solo_F1B_Junior_Intermediate[[#This Row],[Judge 1
Tamara Beljak]]-J2</calculatedColumnFormula>
    </tableColumn>
    <tableColumn id="3" xr3:uid="{C472EDEE-1DDD-41BC-9F88-406AF3A29697}" name="J1 (Rank)" dataDxfId="1166">
      <calculatedColumnFormula>COUNTIFS(Twirling_Solo_F1B_Junior_Intermediate[Age
Division],Twirling_Solo_F1B_Junior_Intermediate[[#This Row],[Age
Division]],Twirling_Solo_F1B_Junior_Intermediate[Category],Twirling_Solo_F1B_Junior_Intermediate[[#This Row],[Category]],Twirling_Solo_F1B_Junior_Intermediate[J1 TOTAL],"&gt;"&amp;Twirling_Solo_F1B_Junior_Intermediate[[#This Row],[J1 TOTAL]])+1</calculatedColumnFormula>
    </tableColumn>
    <tableColumn id="16" xr3:uid="{6BCD6317-75DC-4129-9564-6D4AF1EDC545}" name="Judge 2_x000a_Tihomir Bendelja" dataDxfId="1165"/>
    <tableColumn id="34" xr3:uid="{59E9E66D-FD1C-4EF8-BA0D-0C2E49ED4537}" name="J2 (-)" dataDxfId="1164"/>
    <tableColumn id="28" xr3:uid="{65ECD128-667D-429C-897D-A33CA79EF5C8}" name="J2 TOTAL" dataDxfId="1163">
      <calculatedColumnFormula>Twirling_Solo_F1B_Junior_Intermediate[[#This Row],[Judge 2
Tihomir Bendelja]]-Twirling_Solo_F1B_Junior_Intermediate[[#This Row],[J2 (-)]]</calculatedColumnFormula>
    </tableColumn>
    <tableColumn id="5" xr3:uid="{9F41F48E-3C29-4FB2-B121-71DE843A485E}" name="J2 (Rank)" dataDxfId="1162">
      <calculatedColumnFormula>COUNTIFS(Twirling_Solo_F1B_Junior_Intermediate[Age
Division],Twirling_Solo_F1B_Junior_Intermediate[[#This Row],[Age
Division]],Twirling_Solo_F1B_Junior_Intermediate[Category],Twirling_Solo_F1B_Junior_Intermediate[[#This Row],[Category]],Twirling_Solo_F1B_Junior_Intermediate[J2 TOTAL],"&gt;"&amp;Twirling_Solo_F1B_Junior_Intermediate[[#This Row],[J2 TOTAL]])+1</calculatedColumnFormula>
    </tableColumn>
    <tableColumn id="17" xr3:uid="{2667DFC0-2980-4857-849D-485465331A90}" name="Judge 3_x000a_Tea Softić" dataDxfId="1161"/>
    <tableColumn id="35" xr3:uid="{786147C2-ED79-4F4C-8E98-803E9FA166A3}" name="J3 (-)" dataDxfId="1160"/>
    <tableColumn id="30" xr3:uid="{94AE2B48-8071-484D-8F04-B4503DB918E5}" name="J3 TOTAL" dataDxfId="1159">
      <calculatedColumnFormula>Twirling_Solo_F1B_Junior_Intermediate[[#This Row],[Judge 3
Tea Softić]]-R2</calculatedColumnFormula>
    </tableColumn>
    <tableColumn id="6" xr3:uid="{31B381BC-D681-43C6-970F-0B2170AE412D}" name="J3 (Rank)" dataDxfId="1158">
      <calculatedColumnFormula>COUNTIFS(Twirling_Solo_F1B_Junior_Intermediate[Age
Division],Twirling_Solo_F1B_Junior_Intermediate[[#This Row],[Age
Division]],Twirling_Solo_F1B_Junior_Intermediate[Category],Twirling_Solo_F1B_Junior_Intermediate[[#This Row],[Category]],Twirling_Solo_F1B_Junior_Intermediate[J3 TOTAL],"&gt;"&amp;Twirling_Solo_F1B_Junior_Intermediate[[#This Row],[J3 TOTAL]])+1</calculatedColumnFormula>
    </tableColumn>
    <tableColumn id="18" xr3:uid="{533B281C-A986-43DE-9B09-D8569C6C699F}" name="Judge 4_x000a_Bernard Barač" dataDxfId="1157"/>
    <tableColumn id="36" xr3:uid="{8AF75671-E251-4C0D-ACCA-3410A9D5FA33}" name="J4 (-)" dataDxfId="1156"/>
    <tableColumn id="31" xr3:uid="{7F7AF16A-ED92-453E-8DB0-E173F169DAF3}" name="J4 TOTAL" dataDxfId="1155">
      <calculatedColumnFormula>Twirling_Solo_F1B_Junior_Intermediate[[#This Row],[Judge 4
Bernard Barač]]-V2</calculatedColumnFormula>
    </tableColumn>
    <tableColumn id="7" xr3:uid="{23C3B77D-F8E5-4A97-962E-45FFE0ADF9F4}" name="J4 (Rank)" dataDxfId="1154">
      <calculatedColumnFormula>COUNTIFS(Twirling_Solo_F1B_Junior_Intermediate[Age
Division],Twirling_Solo_F1B_Junior_Intermediate[[#This Row],[Age
Division]],Twirling_Solo_F1B_Junior_Intermediate[Category],Twirling_Solo_F1B_Junior_Intermediate[[#This Row],[Category]],Twirling_Solo_F1B_Junior_Intermediate[J4 TOTAL],"&gt;"&amp;Twirling_Solo_F1B_Junior_Intermediate[[#This Row],[J4 TOTAL]])+1</calculatedColumnFormula>
    </tableColumn>
    <tableColumn id="12" xr3:uid="{6CB0BF72-6517-4B8E-B90A-0E6C5EDE521E}" name="Judge 5_x000a_Barbara Novina" dataDxfId="1153"/>
    <tableColumn id="11" xr3:uid="{928D190F-BDE9-4E7E-9B78-30AE09C36FE9}" name="J5 (-)" dataDxfId="1152"/>
    <tableColumn id="10" xr3:uid="{125C6612-C448-48AF-A297-1303E69C6369}" name="J5 TOTAL" dataDxfId="1151">
      <calculatedColumnFormula>Twirling_Solo_F1B_Junior_Intermediate[[#This Row],[Judge 5
Barbara Novina]]-Y2</calculatedColumnFormula>
    </tableColumn>
    <tableColumn id="2" xr3:uid="{4E48ACB7-448A-4BB2-B48E-DDE5693BAD07}" name="J5 (Rank)" dataDxfId="1150">
      <calculatedColumnFormula>COUNTIFS(Twirling_Solo_F1B_Junior_Intermediate[Age
Division],Twirling_Solo_F1B_Junior_Intermediate[[#This Row],[Age
Division]],Twirling_Solo_F1B_Junior_Intermediate[Category],Twirling_Solo_F1B_Junior_Intermediate[[#This Row],[Category]],Twirling_Solo_F1B_Junior_Intermediate[J5 TOTAL],"&gt;"&amp;Twirling_Solo_F1B_Junior_Intermediate[[#This Row],[J5 TOTAL]])+1</calculatedColumnFormula>
    </tableColumn>
    <tableColumn id="20" xr3:uid="{48E8138A-37BA-47FF-9E7E-98F86FE888BC}" name="Total" dataDxfId="1149">
      <calculatedColumnFormula>SUM(Twirling_Solo_F1B_Junior_Intermediate[[#This Row],[J1 TOTAL]]+Twirling_Solo_F1B_Junior_Intermediate[[#This Row],[J2 TOTAL]]+Twirling_Solo_F1B_Junior_Intermediate[[#This Row],[J3 TOTAL]]+Twirling_Solo_F1B_Junior_Intermediate[[#This Row],[J4 TOTAL]])+Twirling_Solo_F1B_Junior_Intermediate[[#This Row],[J5 TOTAL]]</calculatedColumnFormula>
    </tableColumn>
    <tableColumn id="23" xr3:uid="{4F29ECCC-2E78-4343-9D01-2D45F332CC73}" name="Low" dataDxfId="1148"/>
    <tableColumn id="19" xr3:uid="{AFE54F14-1C92-4940-A112-83BBED5A109D}" name="High" dataDxfId="1147"/>
    <tableColumn id="25" xr3:uid="{304AA4E3-931B-4D74-8787-E72951C1ECCF}" name="Final Total" dataDxfId="1146">
      <calculatedColumnFormula>SUM(Twirling_Solo_F1B_Junior_Intermediate[[#This Row],[Total]]-Twirling_Solo_F1B_Junior_Intermediate[[#This Row],[Low]]-Twirling_Solo_F1B_Junior_Intermediate[[#This Row],[High]])</calculatedColumnFormula>
    </tableColumn>
    <tableColumn id="24" xr3:uid="{365533FC-7157-4041-854F-AA65C7EBE3CF}" name="Avg" dataDxfId="1145">
      <calculatedColumnFormula>AVERAGE(I2,M2,Q2,U2,Y2)</calculatedColumnFormula>
    </tableColumn>
    <tableColumn id="22" xr3:uid="{468F5013-CE01-487C-ADAC-4F16B40B77EF}" name="FINAL SCORE" dataDxfId="1144">
      <calculatedColumnFormula>Twirling_Solo_F1B_Junior_Intermediate[[#This Row],[Final Total]]</calculatedColumnFormula>
    </tableColumn>
    <tableColumn id="27" xr3:uid="{A15102C4-2BE9-4F18-87F6-1BF9F1C14322}" name="Rank" dataDxfId="1143">
      <calculatedColumnFormula>COUNTIFS(Twirling_Solo_F1B_Junior_Intermediate[Age
Division],Twirling_Solo_F1B_Junior_Intermediate[[#This Row],[Age
Division]],Twirling_Solo_F1B_Junior_Intermediate[Category],Twirling_Solo_F1B_Junior_Intermediate[[#This Row],[Category]],Twirling_Solo_F1B_Junior_Intermediate[FINAL SCORE],"&gt;"&amp;Twirling_Solo_F1B_Junior_Intermediate[[#This Row],[FINAL SCORE]])+1</calculatedColumnFormula>
    </tableColumn>
    <tableColumn id="39" xr3:uid="{41966620-58B5-4457-8A01-69565AABA564}" name="Category Type" dataDxfId="114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C616F583-402B-4711-B84B-531FE010134F}" name="Twirling_Solo_F1B_Senior_Intermediate" displayName="Twirling_Solo_F1B_Senior_Intermediate" ref="A1:AJ5" totalsRowShown="0" headerRowDxfId="1103" dataDxfId="1102">
  <autoFilter ref="A1:AJ5" xr:uid="{042C9DAD-4CB0-4D2A-8C87-3D9863992DF4}"/>
  <sortState xmlns:xlrd2="http://schemas.microsoft.com/office/spreadsheetml/2017/richdata2" ref="A2:AJ5">
    <sortCondition ref="AI1:AI5"/>
  </sortState>
  <tableColumns count="36">
    <tableColumn id="1" xr3:uid="{47A57147-2217-49F2-98A7-EE351D720C2D}" name="Start No." dataDxfId="1139"/>
    <tableColumn id="8" xr3:uid="{10044A01-8D00-41E8-8A29-66A5B9315212}" name="Lane" dataDxfId="1138"/>
    <tableColumn id="9" xr3:uid="{38BCDBE5-A54D-46EB-B247-457306AA44FC}" name="Category" dataDxfId="1137"/>
    <tableColumn id="32" xr3:uid="{C390D229-398D-44AA-8AE6-F9CF44D301A5}" name="Age_x000a_Division" dataDxfId="1136"/>
    <tableColumn id="40" xr3:uid="{E89C752F-E134-4B7F-AB00-2123FF129461}" name="Level" dataDxfId="1135"/>
    <tableColumn id="4" xr3:uid="{809CB0A1-31C8-4511-8143-65BA2843C3DC}" name="Athlete" dataDxfId="1134"/>
    <tableColumn id="38" xr3:uid="{74247E8F-FCF0-4A11-8D64-510DC12E33BA}" name="Club" dataDxfId="1133"/>
    <tableColumn id="37" xr3:uid="{FFAF65F0-2503-411B-9547-4EF4B03E5BCC}" name="Country" dataDxfId="1132"/>
    <tableColumn id="15" xr3:uid="{1A6CFA6B-773F-4FE4-AE6D-19040AE010A4}" name="Judge 1_x000a_Tamara Beljak" dataDxfId="1131"/>
    <tableColumn id="33" xr3:uid="{428B2A6F-AE93-4F12-80CD-AC317EF853D0}" name="J1 (-)" dataDxfId="1130"/>
    <tableColumn id="26" xr3:uid="{6EFB928F-482C-485C-9EBD-67D88A183F42}" name="J1 TOTAL" dataDxfId="1129">
      <calculatedColumnFormula>Twirling_Solo_F1B_Senior_Intermediate[[#This Row],[Judge 1
Tamara Beljak]]-J2</calculatedColumnFormula>
    </tableColumn>
    <tableColumn id="3" xr3:uid="{B9F764F4-8D40-478F-BE8A-2851C6C5002F}" name="J1 (Rank)" dataDxfId="1128">
      <calculatedColumnFormula>COUNTIFS(Twirling_Solo_F1B_Senior_Intermediate[Age
Division],Twirling_Solo_F1B_Senior_Intermediate[[#This Row],[Age
Division]],Twirling_Solo_F1B_Senior_Intermediate[Category],Twirling_Solo_F1B_Senior_Intermediate[[#This Row],[Category]],Twirling_Solo_F1B_Senior_Intermediate[J1 TOTAL],"&gt;"&amp;Twirling_Solo_F1B_Senior_Intermediate[[#This Row],[J1 TOTAL]])+1</calculatedColumnFormula>
    </tableColumn>
    <tableColumn id="16" xr3:uid="{BE5314D2-CBB7-4EA6-A7C1-FD103B725ACD}" name="Judge 2_x000a_Tihomir Bendelja" dataDxfId="1127"/>
    <tableColumn id="34" xr3:uid="{E36A84BD-6C25-4E1F-879F-0C7649FFE1CE}" name="J2 (-)" dataDxfId="1126"/>
    <tableColumn id="28" xr3:uid="{89758AFF-D628-41DF-94FB-496722F8C405}" name="J2 TOTAL" dataDxfId="1125">
      <calculatedColumnFormula>Twirling_Solo_F1B_Senior_Intermediate[[#This Row],[Judge 2
Tihomir Bendelja]]-Twirling_Solo_F1B_Senior_Intermediate[[#This Row],[J2 (-)]]</calculatedColumnFormula>
    </tableColumn>
    <tableColumn id="5" xr3:uid="{374158E5-BD65-4A89-976D-84B87C049B7B}" name="J2 (Rank)" dataDxfId="1124">
      <calculatedColumnFormula>COUNTIFS(Twirling_Solo_F1B_Senior_Intermediate[Age
Division],Twirling_Solo_F1B_Senior_Intermediate[[#This Row],[Age
Division]],Twirling_Solo_F1B_Senior_Intermediate[Category],Twirling_Solo_F1B_Senior_Intermediate[[#This Row],[Category]],Twirling_Solo_F1B_Senior_Intermediate[J2 TOTAL],"&gt;"&amp;Twirling_Solo_F1B_Senior_Intermediate[[#This Row],[J2 TOTAL]])+1</calculatedColumnFormula>
    </tableColumn>
    <tableColumn id="17" xr3:uid="{72D464B4-3E79-4524-89D6-5BFD8CE6CAB1}" name="Judge 3_x000a_Tea Softić" dataDxfId="1123"/>
    <tableColumn id="35" xr3:uid="{24E8B956-4E64-4C25-AA05-7C9535297EB5}" name="J3 (-)" dataDxfId="1122"/>
    <tableColumn id="30" xr3:uid="{20746F22-9056-4324-B311-2454969CCDD0}" name="J3 TOTAL" dataDxfId="1121">
      <calculatedColumnFormula>Twirling_Solo_F1B_Senior_Intermediate[[#This Row],[Judge 3
Tea Softić]]-R2</calculatedColumnFormula>
    </tableColumn>
    <tableColumn id="6" xr3:uid="{34A21629-0CB7-4BBD-9E35-B994FEB09B93}" name="J3 (Rank)" dataDxfId="1120">
      <calculatedColumnFormula>COUNTIFS(Twirling_Solo_F1B_Senior_Intermediate[Age
Division],Twirling_Solo_F1B_Senior_Intermediate[[#This Row],[Age
Division]],Twirling_Solo_F1B_Senior_Intermediate[Category],Twirling_Solo_F1B_Senior_Intermediate[[#This Row],[Category]],Twirling_Solo_F1B_Senior_Intermediate[J3 TOTAL],"&gt;"&amp;Twirling_Solo_F1B_Senior_Intermediate[[#This Row],[J3 TOTAL]])+1</calculatedColumnFormula>
    </tableColumn>
    <tableColumn id="18" xr3:uid="{F2EDCB2E-09BF-4C63-81B8-FE1493972828}" name="Judge 4_x000a_Bernard Barač" dataDxfId="1119"/>
    <tableColumn id="36" xr3:uid="{914D6071-377A-40A2-AF5A-DE7CCB89A2A1}" name="J4 (-)" dataDxfId="1118"/>
    <tableColumn id="31" xr3:uid="{C7D991B4-4D51-4648-A35A-F5602FE5B7BF}" name="J4 TOTAL" dataDxfId="1117">
      <calculatedColumnFormula>Twirling_Solo_F1B_Senior_Intermediate[[#This Row],[Judge 4
Bernard Barač]]-V2</calculatedColumnFormula>
    </tableColumn>
    <tableColumn id="7" xr3:uid="{B4A8B073-DB30-4A0F-9C87-8530797CD2A8}" name="J4 (Rank)" dataDxfId="1116">
      <calculatedColumnFormula>COUNTIFS(Twirling_Solo_F1B_Senior_Intermediate[Age
Division],Twirling_Solo_F1B_Senior_Intermediate[[#This Row],[Age
Division]],Twirling_Solo_F1B_Senior_Intermediate[Category],Twirling_Solo_F1B_Senior_Intermediate[[#This Row],[Category]],Twirling_Solo_F1B_Senior_Intermediate[J4 TOTAL],"&gt;"&amp;Twirling_Solo_F1B_Senior_Intermediate[[#This Row],[J4 TOTAL]])+1</calculatedColumnFormula>
    </tableColumn>
    <tableColumn id="12" xr3:uid="{8C0B7DEF-169A-41B1-94D9-1995871A0BE8}" name="Judge 5_x000a_Barbara Novina" dataDxfId="1115"/>
    <tableColumn id="11" xr3:uid="{FAB3CBF6-5CF0-40C1-B4EC-86334BA64C2E}" name="J5 (-)" dataDxfId="1114"/>
    <tableColumn id="10" xr3:uid="{AE79F340-21DD-4C3F-91CA-066FFCD9A509}" name="J5 TOTAL" dataDxfId="1113">
      <calculatedColumnFormula>Twirling_Solo_F1B_Senior_Intermediate[[#This Row],[Judge 5
Barbara Novina]]-Z2</calculatedColumnFormula>
    </tableColumn>
    <tableColumn id="2" xr3:uid="{72B1DE61-1FF4-4014-923D-ED335658D0E2}" name="J5 (Rank)" dataDxfId="1112">
      <calculatedColumnFormula>COUNTIFS(Twirling_Solo_F1B_Senior_Intermediate[Age
Division],Twirling_Solo_F1B_Senior_Intermediate[[#This Row],[Age
Division]],Twirling_Solo_F1B_Senior_Intermediate[Category],Twirling_Solo_F1B_Senior_Intermediate[[#This Row],[Category]],Twirling_Solo_F1B_Senior_Intermediate[J5 TOTAL],"&gt;"&amp;Twirling_Solo_F1B_Senior_Intermediate[[#This Row],[J5 TOTAL]])+1</calculatedColumnFormula>
    </tableColumn>
    <tableColumn id="20" xr3:uid="{BDAFA6B3-CCFA-42F7-BFBA-4B9B3251213C}" name="Total" dataDxfId="1111">
      <calculatedColumnFormula>SUM(Twirling_Solo_F1B_Senior_Intermediate[[#This Row],[J1 TOTAL]]+Twirling_Solo_F1B_Senior_Intermediate[[#This Row],[J2 TOTAL]]+Twirling_Solo_F1B_Senior_Intermediate[[#This Row],[J3 TOTAL]]+Twirling_Solo_F1B_Senior_Intermediate[[#This Row],[J4 TOTAL]])+Twirling_Solo_F1B_Senior_Intermediate[[#This Row],[J5 TOTAL]]</calculatedColumnFormula>
    </tableColumn>
    <tableColumn id="23" xr3:uid="{A2FB18B6-1FC5-4992-A2E5-F8F0854BCDE8}" name="Low" dataDxfId="1110"/>
    <tableColumn id="19" xr3:uid="{53274B23-591E-47A1-B474-19AA8F7B6E43}" name="High" dataDxfId="1109"/>
    <tableColumn id="25" xr3:uid="{D2223C8B-8611-4416-9500-C86471662774}" name="Final Total" dataDxfId="1108">
      <calculatedColumnFormula>SUM(Twirling_Solo_F1B_Senior_Intermediate[[#This Row],[Total]]-Twirling_Solo_F1B_Senior_Intermediate[[#This Row],[Low]]-Twirling_Solo_F1B_Senior_Intermediate[[#This Row],[High]])</calculatedColumnFormula>
    </tableColumn>
    <tableColumn id="24" xr3:uid="{40F9F708-25E9-41CA-9804-23A84C4104C8}" name="Avg" dataDxfId="1107">
      <calculatedColumnFormula>AVERAGE(I2,M2,Q2,U2,Y2)</calculatedColumnFormula>
    </tableColumn>
    <tableColumn id="22" xr3:uid="{14864CE5-DF61-4F05-B2F5-76D2C5E0790D}" name="FINAL SCORE" dataDxfId="1106">
      <calculatedColumnFormula>Twirling_Solo_F1B_Senior_Intermediate[[#This Row],[Final Total]]</calculatedColumnFormula>
    </tableColumn>
    <tableColumn id="27" xr3:uid="{5A7F5B1D-5793-469B-A923-E46141AA69A4}" name="Rank" dataDxfId="1105">
      <calculatedColumnFormula>COUNTIFS(Twirling_Solo_F1B_Senior_Intermediate[Age
Division],Twirling_Solo_F1B_Senior_Intermediate[[#This Row],[Age
Division]],Twirling_Solo_F1B_Senior_Intermediate[Category],Twirling_Solo_F1B_Senior_Intermediate[[#This Row],[Category]],Twirling_Solo_F1B_Senior_Intermediate[FINAL SCORE],"&gt;"&amp;Twirling_Solo_F1B_Senior_Intermediate[[#This Row],[FINAL SCORE]])+1</calculatedColumnFormula>
    </tableColumn>
    <tableColumn id="39" xr3:uid="{41BC89D9-3263-423C-A60D-6A8F5E010324}" name="Category Type" dataDxfId="110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BA69B54-D534-48CC-8825-4BB4274A15BD}" name="Twirling_Solo_F1B_Senior_Advanced" displayName="Twirling_Solo_F1B_Senior_Advanced" ref="A1:AJ5" totalsRowShown="0" headerRowDxfId="1065" dataDxfId="1064">
  <autoFilter ref="A1:AJ5" xr:uid="{042C9DAD-4CB0-4D2A-8C87-3D9863992DF4}"/>
  <sortState xmlns:xlrd2="http://schemas.microsoft.com/office/spreadsheetml/2017/richdata2" ref="A2:AJ5">
    <sortCondition ref="AI1:AI5"/>
  </sortState>
  <tableColumns count="36">
    <tableColumn id="1" xr3:uid="{7D6B68CB-E567-4877-AEE3-9196364DA6F9}" name="Start No." dataDxfId="1101"/>
    <tableColumn id="8" xr3:uid="{6C6F9CF4-C93B-43FF-A76F-B1EE619F0815}" name="Lane" dataDxfId="1100"/>
    <tableColumn id="9" xr3:uid="{AF7B60AC-A0F1-4A38-9CA0-8DDDBD319264}" name="Category" dataDxfId="1099"/>
    <tableColumn id="32" xr3:uid="{1BBEBD3A-7DA3-4108-A3F7-09B12B26E771}" name="Age_x000a_Division" dataDxfId="1098"/>
    <tableColumn id="40" xr3:uid="{D4DC075E-DEAD-42B5-B1E6-7076615C8C8F}" name="Level" dataDxfId="1097"/>
    <tableColumn id="4" xr3:uid="{AD11A236-19E9-4789-85D1-EB3F417CFD8B}" name="Athlete" dataDxfId="1096"/>
    <tableColumn id="38" xr3:uid="{D0C31D53-50BB-4403-B1BC-7A4ACEE3B491}" name="Club" dataDxfId="1095"/>
    <tableColumn id="37" xr3:uid="{1CF9DCEA-92B2-4DC9-B094-384B37BFB1DB}" name="Country" dataDxfId="1094"/>
    <tableColumn id="15" xr3:uid="{18802A39-E2A7-4A12-BB4D-38A2E7ABE21D}" name="Judge 1_x000a_Tamara Beljak" dataDxfId="1093"/>
    <tableColumn id="33" xr3:uid="{625EE8B1-F4DE-4BFE-AACF-55A81A039790}" name="J1 (-)" dataDxfId="1092"/>
    <tableColumn id="26" xr3:uid="{98EAB429-DAA9-483D-B0F4-70B9876E73D1}" name="J1 TOTAL" dataDxfId="1091">
      <calculatedColumnFormula>Twirling_Solo_F1B_Senior_Advanced[[#This Row],[Judge 1
Tamara Beljak]]-J2</calculatedColumnFormula>
    </tableColumn>
    <tableColumn id="3" xr3:uid="{2AE26D1B-CE70-4A15-9BCC-3F41F1B6493F}" name="J1 (Rank)" dataDxfId="1090">
      <calculatedColumnFormula>COUNTIFS(Twirling_Solo_F1B_Senior_Advanced[Age
Division],Twirling_Solo_F1B_Senior_Advanced[[#This Row],[Age
Division]],Twirling_Solo_F1B_Senior_Advanced[Category],Twirling_Solo_F1B_Senior_Advanced[[#This Row],[Category]],Twirling_Solo_F1B_Senior_Advanced[J1 TOTAL],"&gt;"&amp;Twirling_Solo_F1B_Senior_Advanced[[#This Row],[J1 TOTAL]])+1</calculatedColumnFormula>
    </tableColumn>
    <tableColumn id="16" xr3:uid="{116D0F09-7BEF-4EE7-8E64-5882897CFFF0}" name="Judge 2_x000a_Tihomir Bendelja" dataDxfId="1089"/>
    <tableColumn id="34" xr3:uid="{67471019-AE2B-460B-82CC-19DE93C8E9DD}" name="J2 (-)" dataDxfId="1088"/>
    <tableColumn id="28" xr3:uid="{C1B541CF-11AB-4C73-B524-92008F98648F}" name="J2 TOTAL" dataDxfId="1087">
      <calculatedColumnFormula>Twirling_Solo_F1B_Senior_Advanced[[#This Row],[Judge 2
Tihomir Bendelja]]-Twirling_Solo_F1B_Senior_Advanced[[#This Row],[J2 (-)]]</calculatedColumnFormula>
    </tableColumn>
    <tableColumn id="5" xr3:uid="{5A4ADD5F-8028-48CB-9610-45DAA1DCAB56}" name="J2 (Rank)" dataDxfId="1086">
      <calculatedColumnFormula>COUNTIFS(Twirling_Solo_F1B_Senior_Advanced[Age
Division],Twirling_Solo_F1B_Senior_Advanced[[#This Row],[Age
Division]],Twirling_Solo_F1B_Senior_Advanced[Category],Twirling_Solo_F1B_Senior_Advanced[[#This Row],[Category]],Twirling_Solo_F1B_Senior_Advanced[J2 TOTAL],"&gt;"&amp;Twirling_Solo_F1B_Senior_Advanced[[#This Row],[J2 TOTAL]])+1</calculatedColumnFormula>
    </tableColumn>
    <tableColumn id="17" xr3:uid="{F2C377BD-E2D3-46CC-99C6-7A2D56CB3FE6}" name="Judge 3_x000a_Tea Softić" dataDxfId="1085"/>
    <tableColumn id="35" xr3:uid="{D1828AB9-E0E4-45FC-97F6-CE04BC5C917A}" name="J3 (-)" dataDxfId="1084"/>
    <tableColumn id="30" xr3:uid="{7347DDA4-7851-4142-A2EE-143E11135A1C}" name="J3 TOTAL" dataDxfId="1083">
      <calculatedColumnFormula>Twirling_Solo_F1B_Senior_Advanced[[#This Row],[Judge 3
Tea Softić]]-R2</calculatedColumnFormula>
    </tableColumn>
    <tableColumn id="6" xr3:uid="{451EDA08-1669-43EC-9895-5E4C257D2340}" name="J3 (Rank)" dataDxfId="1082">
      <calculatedColumnFormula>COUNTIFS(Twirling_Solo_F1B_Senior_Advanced[Age
Division],Twirling_Solo_F1B_Senior_Advanced[[#This Row],[Age
Division]],Twirling_Solo_F1B_Senior_Advanced[Category],Twirling_Solo_F1B_Senior_Advanced[[#This Row],[Category]],Twirling_Solo_F1B_Senior_Advanced[J3 TOTAL],"&gt;"&amp;Twirling_Solo_F1B_Senior_Advanced[[#This Row],[J3 TOTAL]])+1</calculatedColumnFormula>
    </tableColumn>
    <tableColumn id="18" xr3:uid="{249367BC-9F00-4640-8CC3-23BB087D1EB3}" name="Judge 4_x000a_Bernard Barač" dataDxfId="1081"/>
    <tableColumn id="36" xr3:uid="{EFC1CD83-6232-4BF6-A422-A6F937B03D8F}" name="J4 (-)" dataDxfId="1080"/>
    <tableColumn id="31" xr3:uid="{10DBB261-8651-4DDF-8313-A03E5371F31A}" name="J4 TOTAL" dataDxfId="1079">
      <calculatedColumnFormula>Twirling_Solo_F1B_Senior_Advanced[[#This Row],[Judge 4
Bernard Barač]]-V2</calculatedColumnFormula>
    </tableColumn>
    <tableColumn id="7" xr3:uid="{4A757050-EA09-411B-BB3E-5BA176240F74}" name="J4 (Rank)" dataDxfId="1078">
      <calculatedColumnFormula>COUNTIFS(Twirling_Solo_F1B_Senior_Advanced[Age
Division],Twirling_Solo_F1B_Senior_Advanced[[#This Row],[Age
Division]],Twirling_Solo_F1B_Senior_Advanced[Category],Twirling_Solo_F1B_Senior_Advanced[[#This Row],[Category]],Twirling_Solo_F1B_Senior_Advanced[J4 TOTAL],"&gt;"&amp;Twirling_Solo_F1B_Senior_Advanced[[#This Row],[J4 TOTAL]])+1</calculatedColumnFormula>
    </tableColumn>
    <tableColumn id="12" xr3:uid="{C4A8B515-BB4B-4F5C-833E-0B803D466311}" name="Judge 5_x000a_Barbara Novina" dataDxfId="1077"/>
    <tableColumn id="11" xr3:uid="{AC4CA449-1C80-43DD-9B00-9E3B3B1A251E}" name="J5 (-)" dataDxfId="1076"/>
    <tableColumn id="10" xr3:uid="{9CAE1533-130C-477D-9FB0-A1E1061135B8}" name="J5 TOTAL" dataDxfId="1075">
      <calculatedColumnFormula>Twirling_Solo_F1B_Senior_Advanced[[#This Row],[Judge 5
Barbara Novina]]-Z2</calculatedColumnFormula>
    </tableColumn>
    <tableColumn id="2" xr3:uid="{855A128A-46BC-4E48-9FDF-89FCE8A564A6}" name="J5 (Rank)" dataDxfId="1074">
      <calculatedColumnFormula>COUNTIFS(Twirling_Solo_F1B_Senior_Advanced[Age
Division],Twirling_Solo_F1B_Senior_Advanced[[#This Row],[Age
Division]],Twirling_Solo_F1B_Senior_Advanced[Category],Twirling_Solo_F1B_Senior_Advanced[[#This Row],[Category]],Twirling_Solo_F1B_Senior_Advanced[J5 TOTAL],"&gt;"&amp;Twirling_Solo_F1B_Senior_Advanced[[#This Row],[J5 TOTAL]])+1</calculatedColumnFormula>
    </tableColumn>
    <tableColumn id="20" xr3:uid="{C9841CE1-0B0F-4471-87B8-517619CC4B69}" name="Total" dataDxfId="1073">
      <calculatedColumnFormula>SUM(Twirling_Solo_F1B_Senior_Advanced[[#This Row],[J1 TOTAL]]+Twirling_Solo_F1B_Senior_Advanced[[#This Row],[J2 TOTAL]]+Twirling_Solo_F1B_Senior_Advanced[[#This Row],[J3 TOTAL]]+Twirling_Solo_F1B_Senior_Advanced[[#This Row],[J4 TOTAL]])+Twirling_Solo_F1B_Senior_Advanced[[#This Row],[J5 TOTAL]]</calculatedColumnFormula>
    </tableColumn>
    <tableColumn id="23" xr3:uid="{71071576-E4A1-4F63-9938-9E67DD71E882}" name="Low" dataDxfId="1072"/>
    <tableColumn id="19" xr3:uid="{1BBDBAD4-387D-4A47-8B30-06D9ADD3CA7B}" name="High" dataDxfId="1071"/>
    <tableColumn id="25" xr3:uid="{5B1546A3-44D9-4C6F-8F10-2A60BDBC8CB8}" name="Final Total" dataDxfId="1070">
      <calculatedColumnFormula>SUM(Twirling_Solo_F1B_Senior_Advanced[[#This Row],[Total]]-Twirling_Solo_F1B_Senior_Advanced[[#This Row],[Low]]-Twirling_Solo_F1B_Senior_Advanced[[#This Row],[High]])</calculatedColumnFormula>
    </tableColumn>
    <tableColumn id="24" xr3:uid="{188C0FBE-7ED6-439C-BF39-6D64A35167EC}" name="Avg" dataDxfId="1069">
      <calculatedColumnFormula>AVERAGE(I2,M2,Q2,U2,Y2)</calculatedColumnFormula>
    </tableColumn>
    <tableColumn id="22" xr3:uid="{3F518E91-BBF6-4B6F-B245-47C6D31C2DDD}" name="FINAL SCORE" dataDxfId="1068">
      <calculatedColumnFormula>Twirling_Solo_F1B_Senior_Advanced[[#This Row],[Final Total]]</calculatedColumnFormula>
    </tableColumn>
    <tableColumn id="27" xr3:uid="{1250FEE0-2228-4CDB-B1A8-7768743DE12E}" name="Rank" dataDxfId="1067">
      <calculatedColumnFormula>COUNTIFS(Twirling_Solo_F1B_Senior_Advanced[Age
Division],Twirling_Solo_F1B_Senior_Advanced[[#This Row],[Age
Division]],Twirling_Solo_F1B_Senior_Advanced[Category],Twirling_Solo_F1B_Senior_Advanced[[#This Row],[Category]],Twirling_Solo_F1B_Senior_Advanced[FINAL SCORE],"&gt;"&amp;Twirling_Solo_F1B_Senior_Advanced[[#This Row],[FINAL SCORE]])+1</calculatedColumnFormula>
    </tableColumn>
    <tableColumn id="39" xr3:uid="{2BA21468-60EB-4FBD-A3D0-9EA10B936FD7}" name="Category Type" dataDxfId="1066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DF8BABC-ED09-43DB-AA1E-8B34267B51C4}" name="Twirling_Solo_F2B_Junior_Upper_Level" displayName="Twirling_Solo_F2B_Junior_Upper_Level" ref="A1:AJ4" totalsRowShown="0" headerRowDxfId="1027" dataDxfId="1026">
  <autoFilter ref="A1:AJ4" xr:uid="{042C9DAD-4CB0-4D2A-8C87-3D9863992DF4}"/>
  <sortState xmlns:xlrd2="http://schemas.microsoft.com/office/spreadsheetml/2017/richdata2" ref="A2:AJ4">
    <sortCondition ref="AI1:AI4"/>
  </sortState>
  <tableColumns count="36">
    <tableColumn id="1" xr3:uid="{9B852DAF-E9EA-46CA-B28A-775713FBA4AB}" name="Start No." dataDxfId="1063"/>
    <tableColumn id="8" xr3:uid="{DC0C844D-624B-4DAB-AA2E-421823DEFAED}" name="Lane" dataDxfId="1062"/>
    <tableColumn id="9" xr3:uid="{FF9D44C8-E85D-4DBD-8173-BF83E7485BF0}" name="Category" dataDxfId="1061"/>
    <tableColumn id="32" xr3:uid="{9D97E6C3-563A-446F-BB28-11F61E1AE90B}" name="Age_x000a_Division" dataDxfId="1060"/>
    <tableColumn id="40" xr3:uid="{0627F1E6-CC21-455D-BEB8-C2B740F34DE5}" name="Level" dataDxfId="1059"/>
    <tableColumn id="4" xr3:uid="{D9E4C5DC-DC65-462D-901F-A41E952BF29C}" name="Athlete" dataDxfId="1058"/>
    <tableColumn id="38" xr3:uid="{D41418D9-55B6-4E04-A362-6B74E2A1AF79}" name="Club" dataDxfId="1057"/>
    <tableColumn id="37" xr3:uid="{DEC10938-3417-44EF-9FF7-437CBFC6B7A6}" name="Country" dataDxfId="1056"/>
    <tableColumn id="15" xr3:uid="{A5CCB76C-173E-4BFE-AA99-DA3C44262BA6}" name="Judge 1_x000a_Tamara Beljak" dataDxfId="1055"/>
    <tableColumn id="33" xr3:uid="{2EA094B4-386F-4C5E-BDA3-BC9D70C830CB}" name="J1 (-)" dataDxfId="1054"/>
    <tableColumn id="26" xr3:uid="{FE5A735C-AFD3-45C3-89F5-99FB175751CB}" name="J1 TOTAL" dataDxfId="1053">
      <calculatedColumnFormula>Twirling_Solo_F2B_Junior_Upper_Level[[#This Row],[Judge 1
Tamara Beljak]]-J2</calculatedColumnFormula>
    </tableColumn>
    <tableColumn id="3" xr3:uid="{B484399E-9842-48CB-9C8E-0BFD4FD8BBD0}" name="J1 (Rank)" dataDxfId="1052">
      <calculatedColumnFormula>COUNTIFS(Twirling_Solo_F2B_Junior_Upper_Level[Age
Division],Twirling_Solo_F2B_Junior_Upper_Level[[#This Row],[Age
Division]],Twirling_Solo_F2B_Junior_Upper_Level[Category],Twirling_Solo_F2B_Junior_Upper_Level[[#This Row],[Category]],Twirling_Solo_F2B_Junior_Upper_Level[J1 TOTAL],"&gt;"&amp;Twirling_Solo_F2B_Junior_Upper_Level[[#This Row],[J1 TOTAL]])+1</calculatedColumnFormula>
    </tableColumn>
    <tableColumn id="16" xr3:uid="{34EF37E2-8106-46E1-ABA1-472AD2CFE215}" name="Judge 2_x000a_Tihomir Bendelja" dataDxfId="1051"/>
    <tableColumn id="34" xr3:uid="{CE1CE028-B96E-4A14-8BE4-8AA59EAD2D46}" name="J2 (-)" dataDxfId="1050"/>
    <tableColumn id="28" xr3:uid="{D8478E42-14F1-4A1C-941C-11EE09CDE863}" name="J2 TOTAL" dataDxfId="1049">
      <calculatedColumnFormula>Twirling_Solo_F2B_Junior_Upper_Level[[#This Row],[Judge 2
Tihomir Bendelja]]-Twirling_Solo_F2B_Junior_Upper_Level[[#This Row],[J2 (-)]]</calculatedColumnFormula>
    </tableColumn>
    <tableColumn id="5" xr3:uid="{1622679E-6346-461A-98E2-83B8C9404058}" name="J2 (Rank)" dataDxfId="1048">
      <calculatedColumnFormula>COUNTIFS(Twirling_Solo_F2B_Junior_Upper_Level[Age
Division],Twirling_Solo_F2B_Junior_Upper_Level[[#This Row],[Age
Division]],Twirling_Solo_F2B_Junior_Upper_Level[Category],Twirling_Solo_F2B_Junior_Upper_Level[[#This Row],[Category]],Twirling_Solo_F2B_Junior_Upper_Level[J2 TOTAL],"&gt;"&amp;Twirling_Solo_F2B_Junior_Upper_Level[[#This Row],[J2 TOTAL]])+1</calculatedColumnFormula>
    </tableColumn>
    <tableColumn id="17" xr3:uid="{1276D725-C1C5-43B4-BED7-24145F138E4D}" name="Judge 3_x000a_Tea Softić" dataDxfId="1047"/>
    <tableColumn id="35" xr3:uid="{A96D5995-3703-49A0-A4E3-E214D4D950A5}" name="J3 (-)" dataDxfId="1046"/>
    <tableColumn id="30" xr3:uid="{EB80FED5-D218-427D-965F-A9A774C1B502}" name="J3 TOTAL" dataDxfId="1045">
      <calculatedColumnFormula>Twirling_Solo_F2B_Junior_Upper_Level[[#This Row],[Judge 3
Tea Softić]]-R2</calculatedColumnFormula>
    </tableColumn>
    <tableColumn id="6" xr3:uid="{B76A7EAD-27D0-4D4A-8C20-F1EE4F924D44}" name="J3 (Rank)" dataDxfId="1044">
      <calculatedColumnFormula>COUNTIFS(Twirling_Solo_F2B_Junior_Upper_Level[Age
Division],Twirling_Solo_F2B_Junior_Upper_Level[[#This Row],[Age
Division]],Twirling_Solo_F2B_Junior_Upper_Level[Category],Twirling_Solo_F2B_Junior_Upper_Level[[#This Row],[Category]],Twirling_Solo_F2B_Junior_Upper_Level[J3 TOTAL],"&gt;"&amp;Twirling_Solo_F2B_Junior_Upper_Level[[#This Row],[J3 TOTAL]])+1</calculatedColumnFormula>
    </tableColumn>
    <tableColumn id="18" xr3:uid="{90FF644B-A24D-4251-839F-13DCC0E28358}" name="Judge 4_x000a_Bernard Barač" dataDxfId="1043"/>
    <tableColumn id="36" xr3:uid="{77B11E7B-6356-4307-A591-721C72FDEEC4}" name="J4 (-)" dataDxfId="1042"/>
    <tableColumn id="31" xr3:uid="{CC5D454B-E824-4E42-9026-5408C557075F}" name="J4 TOTAL" dataDxfId="1041">
      <calculatedColumnFormula>Twirling_Solo_F2B_Junior_Upper_Level[[#This Row],[Judge 4
Bernard Barač]]-V2</calculatedColumnFormula>
    </tableColumn>
    <tableColumn id="7" xr3:uid="{644D1611-B2C2-4ADF-B1A5-4B290DA4B484}" name="J4 (Rank)" dataDxfId="1040">
      <calculatedColumnFormula>COUNTIFS(Twirling_Solo_F2B_Junior_Upper_Level[Age
Division],Twirling_Solo_F2B_Junior_Upper_Level[[#This Row],[Age
Division]],Twirling_Solo_F2B_Junior_Upper_Level[Category],Twirling_Solo_F2B_Junior_Upper_Level[[#This Row],[Category]],Twirling_Solo_F2B_Junior_Upper_Level[J4 TOTAL],"&gt;"&amp;Twirling_Solo_F2B_Junior_Upper_Level[[#This Row],[J4 TOTAL]])+1</calculatedColumnFormula>
    </tableColumn>
    <tableColumn id="12" xr3:uid="{B22AC927-57BF-4E47-A225-EBFF54AD3C7E}" name="Judge 5_x000a_Barbara Novina" dataDxfId="1039"/>
    <tableColumn id="11" xr3:uid="{277E2BBE-7E1C-4482-AE2C-97275BBB15A2}" name="J5 (-)" dataDxfId="1038"/>
    <tableColumn id="10" xr3:uid="{4F51D53D-D87F-4502-970F-BDA75AEED741}" name="J5 TOTAL" dataDxfId="1037">
      <calculatedColumnFormula>Twirling_Solo_F2B_Junior_Upper_Level[[#This Row],[Judge 5
Barbara Novina]]-Z2</calculatedColumnFormula>
    </tableColumn>
    <tableColumn id="2" xr3:uid="{F15AF389-B619-4B6E-8764-936E92CBC288}" name="J5 (Rank)" dataDxfId="1036">
      <calculatedColumnFormula>COUNTIFS(Twirling_Solo_F2B_Junior_Upper_Level[Age
Division],Twirling_Solo_F2B_Junior_Upper_Level[[#This Row],[Age
Division]],Twirling_Solo_F2B_Junior_Upper_Level[Category],Twirling_Solo_F2B_Junior_Upper_Level[[#This Row],[Category]],Twirling_Solo_F2B_Junior_Upper_Level[J5 TOTAL],"&gt;"&amp;Twirling_Solo_F2B_Junior_Upper_Level[[#This Row],[J5 TOTAL]])+1</calculatedColumnFormula>
    </tableColumn>
    <tableColumn id="20" xr3:uid="{2A33EC46-6280-4BF2-B7E8-20921EB68B3F}" name="Total" dataDxfId="1035">
      <calculatedColumnFormula>SUM(Twirling_Solo_F2B_Junior_Upper_Level[[#This Row],[J1 TOTAL]]+Twirling_Solo_F2B_Junior_Upper_Level[[#This Row],[J2 TOTAL]]+Twirling_Solo_F2B_Junior_Upper_Level[[#This Row],[J3 TOTAL]]+Twirling_Solo_F2B_Junior_Upper_Level[[#This Row],[J4 TOTAL]])+Twirling_Solo_F2B_Junior_Upper_Level[[#This Row],[J5 TOTAL]]</calculatedColumnFormula>
    </tableColumn>
    <tableColumn id="23" xr3:uid="{BB8D4A85-0EA8-4FD8-A00D-11DDA3D39E49}" name="Low" dataDxfId="1034"/>
    <tableColumn id="19" xr3:uid="{1CAAE3B7-4364-4CC0-A134-1C3F75848763}" name="High" dataDxfId="1033"/>
    <tableColumn id="25" xr3:uid="{D651B321-1E60-4C4E-B6ED-A5960AAF0994}" name="Final Total" dataDxfId="1032">
      <calculatedColumnFormula>SUM(Twirling_Solo_F2B_Junior_Upper_Level[[#This Row],[Total]]-Twirling_Solo_F2B_Junior_Upper_Level[[#This Row],[Low]]-Twirling_Solo_F2B_Junior_Upper_Level[[#This Row],[High]])</calculatedColumnFormula>
    </tableColumn>
    <tableColumn id="24" xr3:uid="{F7F0297C-DC26-4291-B6C5-F7C4D4DBE473}" name="Avg" dataDxfId="1031">
      <calculatedColumnFormula>AVERAGE(I2,M2,Q2,U2,Y2)</calculatedColumnFormula>
    </tableColumn>
    <tableColumn id="22" xr3:uid="{3903CE3A-28AD-4FA0-8F06-99C423F3719A}" name="FINAL SCORE" dataDxfId="1030">
      <calculatedColumnFormula>Twirling_Solo_F2B_Junior_Upper_Level[[#This Row],[Final Total]]</calculatedColumnFormula>
    </tableColumn>
    <tableColumn id="27" xr3:uid="{99D0081A-C52F-43E9-90A9-F819B37E89B0}" name="Rank" dataDxfId="1029">
      <calculatedColumnFormula>COUNTIFS(Twirling_Solo_F2B_Junior_Upper_Level[Age
Division],Twirling_Solo_F2B_Junior_Upper_Level[[#This Row],[Age
Division]],Twirling_Solo_F2B_Junior_Upper_Level[Category],Twirling_Solo_F2B_Junior_Upper_Level[[#This Row],[Category]],Twirling_Solo_F2B_Junior_Upper_Level[FINAL SCORE],"&gt;"&amp;Twirling_Solo_F2B_Junior_Upper_Level[[#This Row],[FINAL SCORE]])+1</calculatedColumnFormula>
    </tableColumn>
    <tableColumn id="39" xr3:uid="{A54A5FCA-0057-4A4D-AC42-D4C0AC8411E9}" name="Category Type" dataDxfId="102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ivotTable" Target="../pivotTables/pivotTable1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D20D4-59B8-4B53-B6FC-358B48958DE0}">
  <sheetPr codeName="Sheet1"/>
  <dimension ref="A1:BC4"/>
  <sheetViews>
    <sheetView zoomScale="80" zoomScaleNormal="80" workbookViewId="0">
      <pane xSplit="8" topLeftCell="I1" activePane="topRight" state="frozen"/>
      <selection activeCell="V26" sqref="V26"/>
      <selection pane="topRight" activeCell="V3" sqref="V3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.6640625" style="29" customWidth="1"/>
    <col min="4" max="4" width="10" style="30" customWidth="1"/>
    <col min="5" max="5" width="9.77734375" style="30" customWidth="1"/>
    <col min="6" max="6" width="12.109375" style="20" bestFit="1" customWidth="1"/>
    <col min="7" max="7" width="43" style="20" customWidth="1"/>
    <col min="8" max="8" width="8" style="20" customWidth="1"/>
    <col min="9" max="12" width="9.109375" style="20" customWidth="1"/>
    <col min="13" max="20" width="9.109375" style="20" hidden="1" customWidth="1"/>
    <col min="21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</v>
      </c>
      <c r="B2" s="19">
        <v>1</v>
      </c>
      <c r="C2" s="19" t="s">
        <v>42</v>
      </c>
      <c r="D2" s="19" t="s">
        <v>30</v>
      </c>
      <c r="E2" s="19" t="s">
        <v>124</v>
      </c>
      <c r="F2" s="19" t="s">
        <v>125</v>
      </c>
      <c r="G2" s="19" t="s">
        <v>49</v>
      </c>
      <c r="H2" s="20" t="s">
        <v>25</v>
      </c>
      <c r="I2" s="21">
        <v>19.100000000000001</v>
      </c>
      <c r="J2" s="22">
        <v>0</v>
      </c>
      <c r="K2" s="23">
        <f>Twirling_Solo_F1B_Children[[#This Row],[Judge 1
Tamara Beljak]]-J2</f>
        <v>19.100000000000001</v>
      </c>
      <c r="L2" s="24">
        <f>COUNTIFS(Twirling_Solo_F1B_Children[Age
Division],Twirling_Solo_F1B_Children[[#This Row],[Age
Division]],Twirling_Solo_F1B_Children[Category],Twirling_Solo_F1B_Children[[#This Row],[Category]],Twirling_Solo_F1B_Children[J1 TOTAL],"&gt;"&amp;Twirling_Solo_F1B_Children[[#This Row],[J1 TOTAL]])+1</f>
        <v>1</v>
      </c>
      <c r="M2" s="21"/>
      <c r="N2" s="22"/>
      <c r="O2" s="23">
        <f>Twirling_Solo_F1B_Children[[#This Row],[Judge 2
Tihomir Bendelja]]-Twirling_Solo_F1B_Children[[#This Row],[J2 (-)]]</f>
        <v>0</v>
      </c>
      <c r="P2" s="24">
        <f>COUNTIFS(Twirling_Solo_F1B_Children[Age
Division],Twirling_Solo_F1B_Children[[#This Row],[Age
Division]],Twirling_Solo_F1B_Children[Category],Twirling_Solo_F1B_Children[[#This Row],[Category]],Twirling_Solo_F1B_Children[J2 TOTAL],"&gt;"&amp;Twirling_Solo_F1B_Children[[#This Row],[J2 TOTAL]])+1</f>
        <v>1</v>
      </c>
      <c r="Q2" s="21"/>
      <c r="R2" s="22"/>
      <c r="S2" s="23">
        <f>Twirling_Solo_F1B_Children[[#This Row],[Judge 3
Tea Softić]]-R2</f>
        <v>0</v>
      </c>
      <c r="T2" s="24">
        <f>COUNTIFS(Twirling_Solo_F1B_Children[Age
Division],Twirling_Solo_F1B_Children[[#This Row],[Age
Division]],Twirling_Solo_F1B_Children[Category],Twirling_Solo_F1B_Children[[#This Row],[Category]],Twirling_Solo_F1B_Children[J3 TOTAL],"&gt;"&amp;Twirling_Solo_F1B_Children[[#This Row],[J3 TOTAL]])+1</f>
        <v>1</v>
      </c>
      <c r="U2" s="21">
        <v>18</v>
      </c>
      <c r="V2" s="22">
        <v>0</v>
      </c>
      <c r="W2" s="23">
        <f>Twirling_Solo_F1B_Children[[#This Row],[Judge 4
Bernard Barač]]-V2</f>
        <v>18</v>
      </c>
      <c r="X2" s="24">
        <f>COUNTIFS(Twirling_Solo_F1B_Children[Age
Division],Twirling_Solo_F1B_Children[[#This Row],[Age
Division]],Twirling_Solo_F1B_Children[Category],Twirling_Solo_F1B_Children[[#This Row],[Category]],Twirling_Solo_F1B_Children[J4 TOTAL],"&gt;"&amp;Twirling_Solo_F1B_Children[[#This Row],[J4 TOTAL]])+1</f>
        <v>1</v>
      </c>
      <c r="Y2" s="21">
        <v>18.899999999999999</v>
      </c>
      <c r="Z2" s="22">
        <v>0</v>
      </c>
      <c r="AA2" s="23">
        <f>Twirling_Solo_F1B_Children[[#This Row],[Judge 5
Barbara Novina]]-Z2</f>
        <v>18.899999999999999</v>
      </c>
      <c r="AB2" s="24">
        <f>COUNTIFS(Twirling_Solo_F1B_Children[Age
Division],Twirling_Solo_F1B_Children[[#This Row],[Age
Division]],Twirling_Solo_F1B_Children[Category],Twirling_Solo_F1B_Children[[#This Row],[Category]],Twirling_Solo_F1B_Children[J5 TOTAL],"&gt;"&amp;Twirling_Solo_F1B_Children[[#This Row],[J5 TOTAL]])+1</f>
        <v>1</v>
      </c>
      <c r="AC2" s="25">
        <f>SUM(Twirling_Solo_F1B_Children[[#This Row],[J1 TOTAL]]+Twirling_Solo_F1B_Children[[#This Row],[J2 TOTAL]]+Twirling_Solo_F1B_Children[[#This Row],[J3 TOTAL]]+Twirling_Solo_F1B_Children[[#This Row],[J4 TOTAL]])+Twirling_Solo_F1B_Children[[#This Row],[J5 TOTAL]]</f>
        <v>56</v>
      </c>
      <c r="AD2" s="25"/>
      <c r="AE2" s="25"/>
      <c r="AF2" s="25">
        <f>SUM(Twirling_Solo_F1B_Children[[#This Row],[Total]]-Twirling_Solo_F1B_Children[[#This Row],[Low]]-Twirling_Solo_F1B_Children[[#This Row],[High]])</f>
        <v>56</v>
      </c>
      <c r="AG2" s="25">
        <f>AVERAGE(I2,M2,Q2,U2,Y2)</f>
        <v>18.666666666666668</v>
      </c>
      <c r="AH2" s="26">
        <f>Twirling_Solo_F1B_Children[[#This Row],[Final Total]]</f>
        <v>56</v>
      </c>
      <c r="AI2" s="27">
        <f>COUNTIFS(Twirling_Solo_F1B_Children[Age
Division],Twirling_Solo_F1B_Children[[#This Row],[Age
Division]],Twirling_Solo_F1B_Children[Category],Twirling_Solo_F1B_Children[[#This Row],[Category]],Twirling_Solo_F1B_Children[FINAL SCORE],"&gt;"&amp;Twirling_Solo_F1B_Children[[#This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5</v>
      </c>
      <c r="B3" s="19">
        <v>1</v>
      </c>
      <c r="C3" s="19" t="s">
        <v>42</v>
      </c>
      <c r="D3" s="19" t="s">
        <v>30</v>
      </c>
      <c r="E3" s="19" t="s">
        <v>124</v>
      </c>
      <c r="F3" s="19" t="s">
        <v>127</v>
      </c>
      <c r="G3" s="19" t="s">
        <v>49</v>
      </c>
      <c r="H3" s="20" t="s">
        <v>25</v>
      </c>
      <c r="I3" s="21">
        <v>9.4</v>
      </c>
      <c r="J3" s="22">
        <v>0.5</v>
      </c>
      <c r="K3" s="23">
        <f>Twirling_Solo_F1B_Children[[#This Row],[Judge 1
Tamara Beljak]]-J3</f>
        <v>8.9</v>
      </c>
      <c r="L3" s="24">
        <f>COUNTIFS(Twirling_Solo_F1B_Children[Age
Division],Twirling_Solo_F1B_Children[[#This Row],[Age
Division]],Twirling_Solo_F1B_Children[Category],Twirling_Solo_F1B_Children[[#This Row],[Category]],Twirling_Solo_F1B_Children[J1 TOTAL],"&gt;"&amp;Twirling_Solo_F1B_Children[[#This Row],[J1 TOTAL]])+1</f>
        <v>2</v>
      </c>
      <c r="M3" s="21"/>
      <c r="N3" s="22"/>
      <c r="O3" s="23">
        <f>Twirling_Solo_F1B_Children[[#This Row],[Judge 2
Tihomir Bendelja]]-Twirling_Solo_F1B_Children[[#This Row],[J2 (-)]]</f>
        <v>0</v>
      </c>
      <c r="P3" s="24">
        <f>COUNTIFS(Twirling_Solo_F1B_Children[Age
Division],Twirling_Solo_F1B_Children[[#This Row],[Age
Division]],Twirling_Solo_F1B_Children[Category],Twirling_Solo_F1B_Children[[#This Row],[Category]],Twirling_Solo_F1B_Children[J2 TOTAL],"&gt;"&amp;Twirling_Solo_F1B_Children[[#This Row],[J2 TOTAL]])+1</f>
        <v>1</v>
      </c>
      <c r="Q3" s="21"/>
      <c r="R3" s="22"/>
      <c r="S3" s="23">
        <f>Twirling_Solo_F1B_Children[[#This Row],[Judge 3
Tea Softić]]-R3</f>
        <v>0</v>
      </c>
      <c r="T3" s="24">
        <f>COUNTIFS(Twirling_Solo_F1B_Children[Age
Division],Twirling_Solo_F1B_Children[[#This Row],[Age
Division]],Twirling_Solo_F1B_Children[Category],Twirling_Solo_F1B_Children[[#This Row],[Category]],Twirling_Solo_F1B_Children[J3 TOTAL],"&gt;"&amp;Twirling_Solo_F1B_Children[[#This Row],[J3 TOTAL]])+1</f>
        <v>1</v>
      </c>
      <c r="U3" s="21">
        <v>10.1</v>
      </c>
      <c r="V3" s="22">
        <v>0.5</v>
      </c>
      <c r="W3" s="23">
        <f>Twirling_Solo_F1B_Children[[#This Row],[Judge 4
Bernard Barač]]-V3</f>
        <v>9.6</v>
      </c>
      <c r="X3" s="24">
        <f>COUNTIFS(Twirling_Solo_F1B_Children[Age
Division],Twirling_Solo_F1B_Children[[#This Row],[Age
Division]],Twirling_Solo_F1B_Children[Category],Twirling_Solo_F1B_Children[[#This Row],[Category]],Twirling_Solo_F1B_Children[J4 TOTAL],"&gt;"&amp;Twirling_Solo_F1B_Children[[#This Row],[J4 TOTAL]])+1</f>
        <v>2</v>
      </c>
      <c r="Y3" s="21">
        <v>9</v>
      </c>
      <c r="Z3" s="22">
        <v>0.5</v>
      </c>
      <c r="AA3" s="23">
        <f>Twirling_Solo_F1B_Children[[#This Row],[Judge 5
Barbara Novina]]-Z3</f>
        <v>8.5</v>
      </c>
      <c r="AB3" s="24">
        <f>COUNTIFS(Twirling_Solo_F1B_Children[Age
Division],Twirling_Solo_F1B_Children[[#This Row],[Age
Division]],Twirling_Solo_F1B_Children[Category],Twirling_Solo_F1B_Children[[#This Row],[Category]],Twirling_Solo_F1B_Children[J5 TOTAL],"&gt;"&amp;Twirling_Solo_F1B_Children[[#This Row],[J5 TOTAL]])+1</f>
        <v>2</v>
      </c>
      <c r="AC3" s="25">
        <f>SUM(Twirling_Solo_F1B_Children[[#This Row],[J1 TOTAL]]+Twirling_Solo_F1B_Children[[#This Row],[J2 TOTAL]]+Twirling_Solo_F1B_Children[[#This Row],[J3 TOTAL]]+Twirling_Solo_F1B_Children[[#This Row],[J4 TOTAL]])+Twirling_Solo_F1B_Children[[#This Row],[J5 TOTAL]]</f>
        <v>27</v>
      </c>
      <c r="AD3" s="25"/>
      <c r="AE3" s="25"/>
      <c r="AF3" s="25">
        <f>SUM(Twirling_Solo_F1B_Children[[#This Row],[Total]]-Twirling_Solo_F1B_Children[[#This Row],[Low]]-Twirling_Solo_F1B_Children[[#This Row],[High]])</f>
        <v>27</v>
      </c>
      <c r="AG3" s="25">
        <f>AVERAGE(I3,M3,Q3,U3,Y3)</f>
        <v>9.5</v>
      </c>
      <c r="AH3" s="26">
        <f>Twirling_Solo_F1B_Children[[#This Row],[Final Total]]</f>
        <v>27</v>
      </c>
      <c r="AI3" s="28">
        <f>COUNTIFS(Twirling_Solo_F1B_Children[Age
Division],Twirling_Solo_F1B_Children[[#This Row],[Age
Division]],Twirling_Solo_F1B_Children[Category],Twirling_Solo_F1B_Children[[#This Row],[Category]],Twirling_Solo_F1B_Children[FINAL SCORE],"&gt;"&amp;Twirling_Solo_F1B_Children[[#This Row],[FINAL SCORE]])+1</f>
        <v>2</v>
      </c>
      <c r="AJ3" s="18" t="s">
        <v>33</v>
      </c>
    </row>
    <row r="4" spans="1:55" ht="15.6" x14ac:dyDescent="0.3">
      <c r="A4" s="18">
        <v>3</v>
      </c>
      <c r="B4" s="19">
        <v>1</v>
      </c>
      <c r="C4" s="19" t="s">
        <v>42</v>
      </c>
      <c r="D4" s="19" t="s">
        <v>30</v>
      </c>
      <c r="E4" s="19" t="s">
        <v>124</v>
      </c>
      <c r="F4" s="19" t="s">
        <v>126</v>
      </c>
      <c r="G4" s="19" t="s">
        <v>49</v>
      </c>
      <c r="H4" s="20" t="s">
        <v>25</v>
      </c>
      <c r="I4" s="21">
        <v>8.5</v>
      </c>
      <c r="J4" s="22">
        <v>0.2</v>
      </c>
      <c r="K4" s="23">
        <f>Twirling_Solo_F1B_Children[[#This Row],[Judge 1
Tamara Beljak]]-J4</f>
        <v>8.3000000000000007</v>
      </c>
      <c r="L4" s="24">
        <f>COUNTIFS(Twirling_Solo_F1B_Children[Age
Division],Twirling_Solo_F1B_Children[[#This Row],[Age
Division]],Twirling_Solo_F1B_Children[Category],Twirling_Solo_F1B_Children[[#This Row],[Category]],Twirling_Solo_F1B_Children[J1 TOTAL],"&gt;"&amp;Twirling_Solo_F1B_Children[[#This Row],[J1 TOTAL]])+1</f>
        <v>3</v>
      </c>
      <c r="M4" s="21"/>
      <c r="N4" s="22"/>
      <c r="O4" s="23">
        <f>Twirling_Solo_F1B_Children[[#This Row],[Judge 2
Tihomir Bendelja]]-Twirling_Solo_F1B_Children[[#This Row],[J2 (-)]]</f>
        <v>0</v>
      </c>
      <c r="P4" s="24">
        <f>COUNTIFS(Twirling_Solo_F1B_Children[Age
Division],Twirling_Solo_F1B_Children[[#This Row],[Age
Division]],Twirling_Solo_F1B_Children[Category],Twirling_Solo_F1B_Children[[#This Row],[Category]],Twirling_Solo_F1B_Children[J2 TOTAL],"&gt;"&amp;Twirling_Solo_F1B_Children[[#This Row],[J2 TOTAL]])+1</f>
        <v>1</v>
      </c>
      <c r="Q4" s="21"/>
      <c r="R4" s="22"/>
      <c r="S4" s="23">
        <f>Twirling_Solo_F1B_Children[[#This Row],[Judge 3
Tea Softić]]-R4</f>
        <v>0</v>
      </c>
      <c r="T4" s="24">
        <f>COUNTIFS(Twirling_Solo_F1B_Children[Age
Division],Twirling_Solo_F1B_Children[[#This Row],[Age
Division]],Twirling_Solo_F1B_Children[Category],Twirling_Solo_F1B_Children[[#This Row],[Category]],Twirling_Solo_F1B_Children[J3 TOTAL],"&gt;"&amp;Twirling_Solo_F1B_Children[[#This Row],[J3 TOTAL]])+1</f>
        <v>1</v>
      </c>
      <c r="U4" s="21">
        <v>9.3000000000000007</v>
      </c>
      <c r="V4" s="22">
        <v>0.2</v>
      </c>
      <c r="W4" s="23">
        <f>Twirling_Solo_F1B_Children[[#This Row],[Judge 4
Bernard Barač]]-V4</f>
        <v>9.1000000000000014</v>
      </c>
      <c r="X4" s="24">
        <f>COUNTIFS(Twirling_Solo_F1B_Children[Age
Division],Twirling_Solo_F1B_Children[[#This Row],[Age
Division]],Twirling_Solo_F1B_Children[Category],Twirling_Solo_F1B_Children[[#This Row],[Category]],Twirling_Solo_F1B_Children[J4 TOTAL],"&gt;"&amp;Twirling_Solo_F1B_Children[[#This Row],[J4 TOTAL]])+1</f>
        <v>3</v>
      </c>
      <c r="Y4" s="21">
        <v>8.6</v>
      </c>
      <c r="Z4" s="22">
        <v>0.2</v>
      </c>
      <c r="AA4" s="23">
        <f>Twirling_Solo_F1B_Children[[#This Row],[Judge 5
Barbara Novina]]-Z4</f>
        <v>8.4</v>
      </c>
      <c r="AB4" s="24">
        <f>COUNTIFS(Twirling_Solo_F1B_Children[Age
Division],Twirling_Solo_F1B_Children[[#This Row],[Age
Division]],Twirling_Solo_F1B_Children[Category],Twirling_Solo_F1B_Children[[#This Row],[Category]],Twirling_Solo_F1B_Children[J5 TOTAL],"&gt;"&amp;Twirling_Solo_F1B_Children[[#This Row],[J5 TOTAL]])+1</f>
        <v>3</v>
      </c>
      <c r="AC4" s="25">
        <f>SUM(Twirling_Solo_F1B_Children[[#This Row],[J1 TOTAL]]+Twirling_Solo_F1B_Children[[#This Row],[J2 TOTAL]]+Twirling_Solo_F1B_Children[[#This Row],[J3 TOTAL]]+Twirling_Solo_F1B_Children[[#This Row],[J4 TOTAL]])+Twirling_Solo_F1B_Children[[#This Row],[J5 TOTAL]]</f>
        <v>25.800000000000004</v>
      </c>
      <c r="AD4" s="25"/>
      <c r="AE4" s="25"/>
      <c r="AF4" s="25">
        <f>SUM(Twirling_Solo_F1B_Children[[#This Row],[Total]]-Twirling_Solo_F1B_Children[[#This Row],[Low]]-Twirling_Solo_F1B_Children[[#This Row],[High]])</f>
        <v>25.800000000000004</v>
      </c>
      <c r="AG4" s="25">
        <f>AVERAGE(I4,M4,Q4,U4,Y4)</f>
        <v>8.7999999999999989</v>
      </c>
      <c r="AH4" s="26">
        <f>Twirling_Solo_F1B_Children[[#This Row],[Final Total]]</f>
        <v>25.800000000000004</v>
      </c>
      <c r="AI4" s="28">
        <f>COUNTIFS(Twirling_Solo_F1B_Children[Age
Division],Twirling_Solo_F1B_Children[[#This Row],[Age
Division]],Twirling_Solo_F1B_Children[Category],Twirling_Solo_F1B_Children[[#This Row],[Category]],Twirling_Solo_F1B_Children[FINAL SCORE],"&gt;"&amp;Twirling_Solo_F1B_Children[[#This Row],[FINAL SCORE]])+1</f>
        <v>3</v>
      </c>
      <c r="AJ4" s="18" t="s">
        <v>33</v>
      </c>
    </row>
  </sheetData>
  <sheetProtection algorithmName="SHA-512" hashValue="arMdlpoD5KbuOUV2XGSgUV3w0fyuc0pqJd/PB0IBkW9w5R4tauY2ydyuFjT5hOzUBPvwK3sLS/l4/eI+p8UPDQ==" saltValue="zL7ZH1/dE8Ncu7fuCxN7D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9E626-568C-42DD-818A-03BCAC21A76D}">
  <sheetPr codeName="Sheet12"/>
  <dimension ref="A1:BC3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109375" style="29" bestFit="1" customWidth="1"/>
    <col min="4" max="4" width="8.21875" style="30" customWidth="1"/>
    <col min="5" max="5" width="9.5546875" style="30" bestFit="1" customWidth="1"/>
    <col min="6" max="6" width="13.44140625" style="20" bestFit="1" customWidth="1"/>
    <col min="7" max="7" width="39.6640625" style="20" bestFit="1" customWidth="1"/>
    <col min="8" max="8" width="9.6640625" style="20" bestFit="1" customWidth="1"/>
    <col min="9" max="12" width="9.109375" style="20" customWidth="1"/>
    <col min="13" max="20" width="9.109375" style="20" hidden="1" customWidth="1"/>
    <col min="21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44</v>
      </c>
      <c r="B2" s="19">
        <v>1</v>
      </c>
      <c r="C2" s="19" t="s">
        <v>76</v>
      </c>
      <c r="D2" s="19" t="s">
        <v>29</v>
      </c>
      <c r="E2" s="19" t="s">
        <v>141</v>
      </c>
      <c r="F2" s="19" t="s">
        <v>80</v>
      </c>
      <c r="G2" s="19" t="s">
        <v>67</v>
      </c>
      <c r="H2" s="20" t="s">
        <v>25</v>
      </c>
      <c r="I2" s="21">
        <v>21.8</v>
      </c>
      <c r="J2" s="22">
        <v>0.4</v>
      </c>
      <c r="K2" s="23">
        <f>Twirling_Solo_F2B_Senior_Lower_Level[[#This Row],[Judge 1
Tamara Beljak]]-J2</f>
        <v>21.400000000000002</v>
      </c>
      <c r="L2" s="24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Row],[Category]],Twirling_Solo_F2B_Senior_Lower_Level[J1 TOTAL],"&gt;"&amp;Twirling_Solo_F2B_Senior_Lower_Level[[#This Row],[J1 TOTAL]])+1</f>
        <v>1</v>
      </c>
      <c r="M2" s="21"/>
      <c r="N2" s="22"/>
      <c r="O2" s="23">
        <f>Twirling_Solo_F2B_Senior_Lower_Level[[#This Row],[Judge 2
Tihomir Bendelja]]-Twirling_Solo_F2B_Senior_Lower_Level[[#This Row],[J2 (-)]]</f>
        <v>0</v>
      </c>
      <c r="P2" s="24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Row],[Category]],Twirling_Solo_F2B_Senior_Lower_Level[J2 TOTAL],"&gt;"&amp;Twirling_Solo_F2B_Senior_Lower_Level[[#This Row],[J2 TOTAL]])+1</f>
        <v>1</v>
      </c>
      <c r="Q2" s="21"/>
      <c r="R2" s="22"/>
      <c r="S2" s="23">
        <f>Twirling_Solo_F2B_Senior_Lower_Level[[#This Row],[Judge 3
Tea Softić]]-R2</f>
        <v>0</v>
      </c>
      <c r="T2" s="24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Row],[Category]],Twirling_Solo_F2B_Senior_Lower_Level[J3 TOTAL],"&gt;"&amp;Twirling_Solo_F2B_Senior_Lower_Level[[#This Row],[J3 TOTAL]])+1</f>
        <v>1</v>
      </c>
      <c r="U2" s="21">
        <v>21.7</v>
      </c>
      <c r="V2" s="22">
        <v>0.4</v>
      </c>
      <c r="W2" s="23">
        <f>Twirling_Solo_F2B_Senior_Lower_Level[[#This Row],[Judge 4
Bernard Barač]]-V2</f>
        <v>21.3</v>
      </c>
      <c r="X2" s="24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Row],[Category]],Twirling_Solo_F2B_Senior_Lower_Level[J4 TOTAL],"&gt;"&amp;Twirling_Solo_F2B_Senior_Lower_Level[[#This Row],[J4 TOTAL]])+1</f>
        <v>1</v>
      </c>
      <c r="Y2" s="21">
        <v>22.1</v>
      </c>
      <c r="Z2" s="22">
        <v>0.4</v>
      </c>
      <c r="AA2" s="23">
        <f>Twirling_Solo_F2B_Senior_Lower_Level[[#This Row],[Judge 5
Barbara Novina]]-Z2</f>
        <v>21.700000000000003</v>
      </c>
      <c r="AB2" s="24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Row],[Category]],Twirling_Solo_F2B_Senior_Lower_Level[J5 TOTAL],"&gt;"&amp;Twirling_Solo_F2B_Senior_Lower_Level[[#This Row],[J5 TOTAL]])+1</f>
        <v>1</v>
      </c>
      <c r="AC2" s="25">
        <f>SUM(Twirling_Solo_F2B_Senior_Lower_Level[[#This Row],[J1 TOTAL]]+Twirling_Solo_F2B_Senior_Lower_Level[[#This Row],[J2 TOTAL]]+Twirling_Solo_F2B_Senior_Lower_Level[[#This Row],[J3 TOTAL]]+Twirling_Solo_F2B_Senior_Lower_Level[[#This Row],[J4 TOTAL]])+Twirling_Solo_F2B_Senior_Lower_Level[[#This Row],[J5 TOTAL]]</f>
        <v>64.400000000000006</v>
      </c>
      <c r="AD2" s="25"/>
      <c r="AE2" s="25"/>
      <c r="AF2" s="25">
        <f>SUM(Twirling_Solo_F2B_Senior_Lower_Level[[#This Row],[Total]]-Twirling_Solo_F2B_Senior_Lower_Level[[#This Row],[Low]]-Twirling_Solo_F2B_Senior_Lower_Level[[#This Row],[High]])</f>
        <v>64.400000000000006</v>
      </c>
      <c r="AG2" s="25">
        <f>AVERAGE(I2,M2,Q2,U2,Y2)</f>
        <v>21.866666666666664</v>
      </c>
      <c r="AH2" s="26">
        <f>Twirling_Solo_F2B_Senior_Lower_Level[[#This Row],[Final Total]]</f>
        <v>64.400000000000006</v>
      </c>
      <c r="AI2" s="27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Row],[Category]],Twirling_Solo_F2B_Senior_Lower_Level[FINAL SCORE],"&gt;"&amp;Twirling_Solo_F2B_Senior_Lower_Level[[#This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46</v>
      </c>
      <c r="B3" s="19">
        <v>1</v>
      </c>
      <c r="C3" s="19" t="s">
        <v>76</v>
      </c>
      <c r="D3" s="19" t="s">
        <v>29</v>
      </c>
      <c r="E3" s="19" t="s">
        <v>141</v>
      </c>
      <c r="F3" s="19" t="s">
        <v>81</v>
      </c>
      <c r="G3" s="19" t="s">
        <v>67</v>
      </c>
      <c r="H3" s="20" t="s">
        <v>25</v>
      </c>
      <c r="I3" s="21">
        <v>21.4</v>
      </c>
      <c r="J3" s="22">
        <v>1</v>
      </c>
      <c r="K3" s="23">
        <f>Twirling_Solo_F2B_Senior_Lower_Level[[#This Row],[Judge 1
Tamara Beljak]]-J3</f>
        <v>20.399999999999999</v>
      </c>
      <c r="L3" s="24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Row],[Category]],Twirling_Solo_F2B_Senior_Lower_Level[J1 TOTAL],"&gt;"&amp;Twirling_Solo_F2B_Senior_Lower_Level[[#This Row],[J1 TOTAL]])+1</f>
        <v>2</v>
      </c>
      <c r="M3" s="21"/>
      <c r="N3" s="22"/>
      <c r="O3" s="23">
        <f>Twirling_Solo_F2B_Senior_Lower_Level[[#This Row],[Judge 2
Tihomir Bendelja]]-Twirling_Solo_F2B_Senior_Lower_Level[[#This Row],[J2 (-)]]</f>
        <v>0</v>
      </c>
      <c r="P3" s="24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Row],[Category]],Twirling_Solo_F2B_Senior_Lower_Level[J2 TOTAL],"&gt;"&amp;Twirling_Solo_F2B_Senior_Lower_Level[[#This Row],[J2 TOTAL]])+1</f>
        <v>1</v>
      </c>
      <c r="Q3" s="21"/>
      <c r="R3" s="22"/>
      <c r="S3" s="23">
        <f>Twirling_Solo_F2B_Senior_Lower_Level[[#This Row],[Judge 3
Tea Softić]]-R3</f>
        <v>0</v>
      </c>
      <c r="T3" s="24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Row],[Category]],Twirling_Solo_F2B_Senior_Lower_Level[J3 TOTAL],"&gt;"&amp;Twirling_Solo_F2B_Senior_Lower_Level[[#This Row],[J3 TOTAL]])+1</f>
        <v>1</v>
      </c>
      <c r="U3" s="21">
        <v>19.5</v>
      </c>
      <c r="V3" s="22">
        <v>1</v>
      </c>
      <c r="W3" s="23">
        <f>Twirling_Solo_F2B_Senior_Lower_Level[[#This Row],[Judge 4
Bernard Barač]]-V3</f>
        <v>18.5</v>
      </c>
      <c r="X3" s="24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Row],[Category]],Twirling_Solo_F2B_Senior_Lower_Level[J4 TOTAL],"&gt;"&amp;Twirling_Solo_F2B_Senior_Lower_Level[[#This Row],[J4 TOTAL]])+1</f>
        <v>2</v>
      </c>
      <c r="Y3" s="21">
        <v>22.6</v>
      </c>
      <c r="Z3" s="22">
        <v>1</v>
      </c>
      <c r="AA3" s="23">
        <f>Twirling_Solo_F2B_Senior_Lower_Level[[#This Row],[Judge 5
Barbara Novina]]-Z3</f>
        <v>21.6</v>
      </c>
      <c r="AB3" s="24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Row],[Category]],Twirling_Solo_F2B_Senior_Lower_Level[J5 TOTAL],"&gt;"&amp;Twirling_Solo_F2B_Senior_Lower_Level[[#This Row],[J5 TOTAL]])+1</f>
        <v>2</v>
      </c>
      <c r="AC3" s="25">
        <f>SUM(Twirling_Solo_F2B_Senior_Lower_Level[[#This Row],[J1 TOTAL]]+Twirling_Solo_F2B_Senior_Lower_Level[[#This Row],[J2 TOTAL]]+Twirling_Solo_F2B_Senior_Lower_Level[[#This Row],[J3 TOTAL]]+Twirling_Solo_F2B_Senior_Lower_Level[[#This Row],[J4 TOTAL]])+Twirling_Solo_F2B_Senior_Lower_Level[[#This Row],[J5 TOTAL]]</f>
        <v>60.5</v>
      </c>
      <c r="AD3" s="25"/>
      <c r="AE3" s="25"/>
      <c r="AF3" s="25">
        <f>SUM(Twirling_Solo_F2B_Senior_Lower_Level[[#This Row],[Total]]-Twirling_Solo_F2B_Senior_Lower_Level[[#This Row],[Low]]-Twirling_Solo_F2B_Senior_Lower_Level[[#This Row],[High]])</f>
        <v>60.5</v>
      </c>
      <c r="AG3" s="25">
        <f>AVERAGE(I3,M3,Q3,U3,Y3)</f>
        <v>21.166666666666668</v>
      </c>
      <c r="AH3" s="26">
        <f>Twirling_Solo_F2B_Senior_Lower_Level[[#This Row],[Final Total]]</f>
        <v>60.5</v>
      </c>
      <c r="AI3" s="28">
        <f>COUNTIFS(Twirling_Solo_F2B_Senior_Lower_Level[Age
Division],Twirling_Solo_F2B_Senior_Lower_Level[[#This Row],[Age
Division]],Twirling_Solo_F2B_Senior_Lower_Level[Category],Twirling_Solo_F2B_Senior_Lower_Level[[#This Row],[Category]],Twirling_Solo_F2B_Senior_Lower_Level[FINAL SCORE],"&gt;"&amp;Twirling_Solo_F2B_Senior_Lower_Level[[#This Row],[FINAL SCORE]])+1</f>
        <v>2</v>
      </c>
      <c r="AJ3" s="18" t="s">
        <v>33</v>
      </c>
    </row>
  </sheetData>
  <sheetProtection algorithmName="SHA-512" hashValue="FMaZn4ThHrzl5qg54987A/KpzLSjaLgP0kNW41/Cb/u5C7x0UodMqwlXVqbegXNhBRkcxLM0nUC9wJZZDDfAvw==" saltValue="YLeKpUK8POxGmaAOEwmRO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48FFF-1291-4F08-A99E-D0C353C0F492}">
  <sheetPr codeName="Sheet9"/>
  <dimension ref="A1:BC2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109375" style="29" bestFit="1" customWidth="1"/>
    <col min="4" max="4" width="9.6640625" style="30" bestFit="1" customWidth="1"/>
    <col min="5" max="5" width="10.109375" style="30" bestFit="1" customWidth="1"/>
    <col min="6" max="6" width="14.88671875" style="20" bestFit="1" customWidth="1"/>
    <col min="7" max="7" width="43.33203125" style="20" bestFit="1" customWidth="1"/>
    <col min="8" max="8" width="9.109375" style="20" customWidth="1"/>
    <col min="9" max="11" width="9.109375" style="20" hidden="1" customWidth="1"/>
    <col min="12" max="12" width="13.44140625" style="20" hidden="1" customWidth="1"/>
    <col min="13" max="20" width="9.109375" style="20" customWidth="1"/>
    <col min="21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47</v>
      </c>
      <c r="B2" s="19">
        <v>2</v>
      </c>
      <c r="C2" s="19" t="s">
        <v>76</v>
      </c>
      <c r="D2" s="19" t="s">
        <v>23</v>
      </c>
      <c r="E2" s="19" t="s">
        <v>77</v>
      </c>
      <c r="F2" s="19" t="s">
        <v>48</v>
      </c>
      <c r="G2" s="19" t="s">
        <v>49</v>
      </c>
      <c r="H2" s="20" t="s">
        <v>25</v>
      </c>
      <c r="I2" s="21"/>
      <c r="J2" s="22"/>
      <c r="K2" s="23">
        <f>Twirling_Solo_F2B_Cadet_Lower_Level[[#This Row],[Judge 1
Tamara Beljak]]-J2</f>
        <v>0</v>
      </c>
      <c r="L2" s="24">
        <f>COUNTIFS(Twirling_Solo_F2B_Cadet_Lower_Level[Age
Division],Twirling_Solo_F2B_Cadet_Lower_Level[[#This Row],[Age
Division]],Twirling_Solo_F2B_Cadet_Lower_Level[Category],Twirling_Solo_F2B_Cadet_Lower_Level[[#This Row],[Category]],Twirling_Solo_F2B_Cadet_Lower_Level[J1 TOTAL],"&gt;"&amp;Twirling_Solo_F2B_Cadet_Lower_Level[[#This Row],[J1 TOTAL]])+1</f>
        <v>1</v>
      </c>
      <c r="M2" s="21">
        <v>20.399999999999999</v>
      </c>
      <c r="N2" s="22">
        <v>0.3</v>
      </c>
      <c r="O2" s="23">
        <f>Twirling_Solo_F2B_Cadet_Lower_Level[[#This Row],[Judge 2
Tihomir Bendelja]]-Twirling_Solo_F2B_Cadet_Lower_Level[[#This Row],[J2 (-)]]</f>
        <v>20.099999999999998</v>
      </c>
      <c r="P2" s="24">
        <f>COUNTIFS(Twirling_Solo_F2B_Cadet_Lower_Level[Age
Division],Twirling_Solo_F2B_Cadet_Lower_Level[[#This Row],[Age
Division]],Twirling_Solo_F2B_Cadet_Lower_Level[Category],Twirling_Solo_F2B_Cadet_Lower_Level[[#This Row],[Category]],Twirling_Solo_F2B_Cadet_Lower_Level[J2 TOTAL],"&gt;"&amp;Twirling_Solo_F2B_Cadet_Lower_Level[[#This Row],[J2 TOTAL]])+1</f>
        <v>1</v>
      </c>
      <c r="Q2" s="21">
        <v>20.399999999999999</v>
      </c>
      <c r="R2" s="22">
        <v>0.3</v>
      </c>
      <c r="S2" s="23">
        <f>Twirling_Solo_F2B_Cadet_Lower_Level[[#This Row],[Judge 3
Tea Softić]]-R2</f>
        <v>20.099999999999998</v>
      </c>
      <c r="T2" s="24">
        <f>COUNTIFS(Twirling_Solo_F2B_Cadet_Lower_Level[Age
Division],Twirling_Solo_F2B_Cadet_Lower_Level[[#This Row],[Age
Division]],Twirling_Solo_F2B_Cadet_Lower_Level[Category],Twirling_Solo_F2B_Cadet_Lower_Level[[#This Row],[Category]],Twirling_Solo_F2B_Cadet_Lower_Level[J3 TOTAL],"&gt;"&amp;Twirling_Solo_F2B_Cadet_Lower_Level[[#This Row],[J3 TOTAL]])+1</f>
        <v>1</v>
      </c>
      <c r="U2" s="21"/>
      <c r="V2" s="22"/>
      <c r="W2" s="23">
        <f>Twirling_Solo_F2B_Cadet_Lower_Level[[#This Row],[Judge 4
Bernard Barač]]-V2</f>
        <v>0</v>
      </c>
      <c r="X2" s="24">
        <f>COUNTIFS(Twirling_Solo_F2B_Cadet_Lower_Level[Age
Division],Twirling_Solo_F2B_Cadet_Lower_Level[[#This Row],[Age
Division]],Twirling_Solo_F2B_Cadet_Lower_Level[Category],Twirling_Solo_F2B_Cadet_Lower_Level[[#This Row],[Category]],Twirling_Solo_F2B_Cadet_Lower_Level[J4 TOTAL],"&gt;"&amp;Twirling_Solo_F2B_Cadet_Lower_Level[[#This Row],[J4 TOTAL]])+1</f>
        <v>1</v>
      </c>
      <c r="Y2" s="21"/>
      <c r="Z2" s="22"/>
      <c r="AA2" s="23">
        <f>Twirling_Solo_F2B_Cadet_Lower_Level[[#This Row],[Judge 5
Barbara Novina]]-Y2</f>
        <v>0</v>
      </c>
      <c r="AB2" s="24">
        <f>COUNTIFS(Twirling_Solo_F2B_Cadet_Lower_Level[Age
Division],Twirling_Solo_F2B_Cadet_Lower_Level[[#This Row],[Age
Division]],Twirling_Solo_F2B_Cadet_Lower_Level[Category],Twirling_Solo_F2B_Cadet_Lower_Level[[#This Row],[Category]],Twirling_Solo_F2B_Cadet_Lower_Level[J5 TOTAL],"&gt;"&amp;Twirling_Solo_F2B_Cadet_Lower_Level[[#This Row],[J5 TOTAL]])+1</f>
        <v>1</v>
      </c>
      <c r="AC2" s="25">
        <f>SUM(Twirling_Solo_F2B_Cadet_Lower_Level[[#This Row],[J1 TOTAL]]+Twirling_Solo_F2B_Cadet_Lower_Level[[#This Row],[J2 TOTAL]]+Twirling_Solo_F2B_Cadet_Lower_Level[[#This Row],[J3 TOTAL]]+Twirling_Solo_F2B_Cadet_Lower_Level[[#This Row],[J4 TOTAL]])+Twirling_Solo_F2B_Cadet_Lower_Level[[#This Row],[J5 TOTAL]]</f>
        <v>40.199999999999996</v>
      </c>
      <c r="AD2" s="25"/>
      <c r="AE2" s="25"/>
      <c r="AF2" s="25">
        <f>SUM(Twirling_Solo_F2B_Cadet_Lower_Level[[#This Row],[Total]]-Twirling_Solo_F2B_Cadet_Lower_Level[[#This Row],[Low]]-Twirling_Solo_F2B_Cadet_Lower_Level[[#This Row],[High]])</f>
        <v>40.199999999999996</v>
      </c>
      <c r="AG2" s="25">
        <f>AVERAGE(I2,M2,Q2,U2,Y2)</f>
        <v>20.399999999999999</v>
      </c>
      <c r="AH2" s="26">
        <f>Twirling_Solo_F2B_Cadet_Lower_Level[[#This Row],[Final Total]]</f>
        <v>40.199999999999996</v>
      </c>
      <c r="AI2" s="27">
        <f>COUNTIFS(Twirling_Solo_F2B_Cadet_Lower_Level[Age
Division],Twirling_Solo_F2B_Cadet_Lower_Level[[#This Row],[Age
Division]],Twirling_Solo_F2B_Cadet_Lower_Level[Category],Twirling_Solo_F2B_Cadet_Lower_Level[[#This Row],[Category]],Twirling_Solo_F2B_Cadet_Lower_Level[FINAL SCORE],"&gt;"&amp;Twirling_Solo_F2B_Cadet_Lower_Level[[#This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</sheetData>
  <sheetProtection algorithmName="SHA-512" hashValue="j+NgONM46daxEQIawyPTKcjYwEGYHx60JcljZrZAes2HWX9uHkS+5ovIBhtC8jBGyvKAsDPRmRvjkB1GlC3B+w==" saltValue="dhotMhn3Njct1k92LC851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20AD-5C61-4A14-916A-2C26D007621E}">
  <sheetPr codeName="Sheet10"/>
  <dimension ref="A1:BC5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109375" style="29" bestFit="1" customWidth="1"/>
    <col min="4" max="4" width="7.88671875" style="30" customWidth="1"/>
    <col min="5" max="5" width="9.5546875" style="30" bestFit="1" customWidth="1"/>
    <col min="6" max="6" width="10.77734375" style="20" bestFit="1" customWidth="1"/>
    <col min="7" max="7" width="43.33203125" style="20" bestFit="1" customWidth="1"/>
    <col min="8" max="8" width="9.6640625" style="20" bestFit="1" customWidth="1"/>
    <col min="9" max="12" width="9.109375" style="20" hidden="1" customWidth="1"/>
    <col min="13" max="20" width="9.109375" style="20" customWidth="1"/>
    <col min="21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39</v>
      </c>
      <c r="B2" s="19">
        <v>2</v>
      </c>
      <c r="C2" s="19" t="s">
        <v>76</v>
      </c>
      <c r="D2" s="19" t="s">
        <v>27</v>
      </c>
      <c r="E2" s="19" t="s">
        <v>141</v>
      </c>
      <c r="F2" s="31" t="s">
        <v>66</v>
      </c>
      <c r="G2" s="19" t="s">
        <v>67</v>
      </c>
      <c r="H2" s="20" t="s">
        <v>25</v>
      </c>
      <c r="I2" s="21"/>
      <c r="J2" s="22"/>
      <c r="K2" s="23">
        <f>Twirling_Solo_F2B_Junior_Lower_Level[[#This Row],[Judge 1
Tamara Beljak]]-J2</f>
        <v>0</v>
      </c>
      <c r="L2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Row],[Category]],Twirling_Solo_F2B_Junior_Lower_Level[J1 TOTAL],"&gt;"&amp;Twirling_Solo_F2B_Junior_Lower_Level[[#This Row],[J1 TOTAL]])+1</f>
        <v>1</v>
      </c>
      <c r="M2" s="21">
        <v>28.7</v>
      </c>
      <c r="N2" s="22">
        <v>0.1</v>
      </c>
      <c r="O2" s="23">
        <f>Twirling_Solo_F2B_Junior_Lower_Level[[#This Row],[Judge 2
Tihomir Bendelja]]-Twirling_Solo_F2B_Junior_Lower_Level[[#This Row],[J2 (-)]]</f>
        <v>28.599999999999998</v>
      </c>
      <c r="P2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Row],[Category]],Twirling_Solo_F2B_Junior_Lower_Level[J2 TOTAL],"&gt;"&amp;Twirling_Solo_F2B_Junior_Lower_Level[[#This Row],[J2 TOTAL]])+1</f>
        <v>1</v>
      </c>
      <c r="Q2" s="21">
        <v>28.7</v>
      </c>
      <c r="R2" s="22">
        <v>0.1</v>
      </c>
      <c r="S2" s="23">
        <f>Twirling_Solo_F2B_Junior_Lower_Level[[#This Row],[Judge 3
Tea Softić]]-R2</f>
        <v>28.599999999999998</v>
      </c>
      <c r="T2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Row],[Category]],Twirling_Solo_F2B_Junior_Lower_Level[J3 TOTAL],"&gt;"&amp;Twirling_Solo_F2B_Junior_Lower_Level[[#This Row],[J3 TOTAL]])+1</f>
        <v>1</v>
      </c>
      <c r="U2" s="21"/>
      <c r="V2" s="22"/>
      <c r="W2" s="23">
        <f>Twirling_Solo_F2B_Junior_Lower_Level[[#This Row],[Judge 4
Bernard Barač]]-V2</f>
        <v>0</v>
      </c>
      <c r="X2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Row],[Category]],Twirling_Solo_F2B_Junior_Lower_Level[J4 TOTAL],"&gt;"&amp;Twirling_Solo_F2B_Junior_Lower_Level[[#This Row],[J4 TOTAL]])+1</f>
        <v>1</v>
      </c>
      <c r="Y2" s="21"/>
      <c r="Z2" s="22"/>
      <c r="AA2" s="23">
        <f>Twirling_Solo_F2B_Junior_Lower_Level[[#This Row],[Judge 5
Barbara Novina]]-Y2</f>
        <v>0</v>
      </c>
      <c r="AB2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Row],[Category]],Twirling_Solo_F2B_Junior_Lower_Level[J5 TOTAL],"&gt;"&amp;Twirling_Solo_F2B_Junior_Lower_Level[[#This Row],[J5 TOTAL]])+1</f>
        <v>1</v>
      </c>
      <c r="AC2" s="25">
        <f>SUM(Twirling_Solo_F2B_Junior_Lower_Level[[#This Row],[J1 TOTAL]]+Twirling_Solo_F2B_Junior_Lower_Level[[#This Row],[J2 TOTAL]]+Twirling_Solo_F2B_Junior_Lower_Level[[#This Row],[J3 TOTAL]]+Twirling_Solo_F2B_Junior_Lower_Level[[#This Row],[J4 TOTAL]])+Twirling_Solo_F2B_Junior_Lower_Level[[#This Row],[J5 TOTAL]]</f>
        <v>57.199999999999996</v>
      </c>
      <c r="AD2" s="25"/>
      <c r="AE2" s="25"/>
      <c r="AF2" s="25">
        <f>SUM(Twirling_Solo_F2B_Junior_Lower_Level[[#This Row],[Total]]-Twirling_Solo_F2B_Junior_Lower_Level[[#This Row],[Low]]-Twirling_Solo_F2B_Junior_Lower_Level[[#This Row],[High]])</f>
        <v>57.199999999999996</v>
      </c>
      <c r="AG2" s="25">
        <f>AVERAGE(I2,M2,Q2,U2,Y2)</f>
        <v>28.7</v>
      </c>
      <c r="AH2" s="26">
        <f>Twirling_Solo_F2B_Junior_Lower_Level[[#This Row],[Final Total]]</f>
        <v>57.199999999999996</v>
      </c>
      <c r="AI2" s="27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Row],[Category]],Twirling_Solo_F2B_Junior_Lower_Level[FINAL SCORE],"&gt;"&amp;Twirling_Solo_F2B_Junior_Lower_Level[[#This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45</v>
      </c>
      <c r="B3" s="19">
        <v>2</v>
      </c>
      <c r="C3" s="19" t="s">
        <v>76</v>
      </c>
      <c r="D3" s="19" t="s">
        <v>27</v>
      </c>
      <c r="E3" s="19" t="s">
        <v>141</v>
      </c>
      <c r="F3" s="31" t="s">
        <v>65</v>
      </c>
      <c r="G3" s="19" t="s">
        <v>49</v>
      </c>
      <c r="H3" s="20" t="s">
        <v>25</v>
      </c>
      <c r="I3" s="21"/>
      <c r="J3" s="22"/>
      <c r="K3" s="23">
        <f>Twirling_Solo_F2B_Junior_Lower_Level[[#This Row],[Judge 1
Tamara Beljak]]-J3</f>
        <v>0</v>
      </c>
      <c r="L3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Row],[Category]],Twirling_Solo_F2B_Junior_Lower_Level[J1 TOTAL],"&gt;"&amp;Twirling_Solo_F2B_Junior_Lower_Level[[#This Row],[J1 TOTAL]])+1</f>
        <v>1</v>
      </c>
      <c r="M3" s="21">
        <v>26.7</v>
      </c>
      <c r="N3" s="22">
        <v>0.1</v>
      </c>
      <c r="O3" s="23">
        <f>Twirling_Solo_F2B_Junior_Lower_Level[[#This Row],[Judge 2
Tihomir Bendelja]]-Twirling_Solo_F2B_Junior_Lower_Level[[#This Row],[J2 (-)]]</f>
        <v>26.599999999999998</v>
      </c>
      <c r="P3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Row],[Category]],Twirling_Solo_F2B_Junior_Lower_Level[J2 TOTAL],"&gt;"&amp;Twirling_Solo_F2B_Junior_Lower_Level[[#This Row],[J2 TOTAL]])+1</f>
        <v>2</v>
      </c>
      <c r="Q3" s="21">
        <v>26.2</v>
      </c>
      <c r="R3" s="22">
        <v>0.1</v>
      </c>
      <c r="S3" s="23">
        <f>Twirling_Solo_F2B_Junior_Lower_Level[[#This Row],[Judge 3
Tea Softić]]-R3</f>
        <v>26.099999999999998</v>
      </c>
      <c r="T3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Row],[Category]],Twirling_Solo_F2B_Junior_Lower_Level[J3 TOTAL],"&gt;"&amp;Twirling_Solo_F2B_Junior_Lower_Level[[#This Row],[J3 TOTAL]])+1</f>
        <v>2</v>
      </c>
      <c r="U3" s="21"/>
      <c r="V3" s="22"/>
      <c r="W3" s="23">
        <f>Twirling_Solo_F2B_Junior_Lower_Level[[#This Row],[Judge 4
Bernard Barač]]-V3</f>
        <v>0</v>
      </c>
      <c r="X3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Row],[Category]],Twirling_Solo_F2B_Junior_Lower_Level[J4 TOTAL],"&gt;"&amp;Twirling_Solo_F2B_Junior_Lower_Level[[#This Row],[J4 TOTAL]])+1</f>
        <v>1</v>
      </c>
      <c r="Y3" s="21"/>
      <c r="Z3" s="22"/>
      <c r="AA3" s="23">
        <f>Twirling_Solo_F2B_Junior_Lower_Level[[#This Row],[Judge 5
Barbara Novina]]-Y3</f>
        <v>0</v>
      </c>
      <c r="AB3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Row],[Category]],Twirling_Solo_F2B_Junior_Lower_Level[J5 TOTAL],"&gt;"&amp;Twirling_Solo_F2B_Junior_Lower_Level[[#This Row],[J5 TOTAL]])+1</f>
        <v>1</v>
      </c>
      <c r="AC3" s="25">
        <f>SUM(Twirling_Solo_F2B_Junior_Lower_Level[[#This Row],[J1 TOTAL]]+Twirling_Solo_F2B_Junior_Lower_Level[[#This Row],[J2 TOTAL]]+Twirling_Solo_F2B_Junior_Lower_Level[[#This Row],[J3 TOTAL]]+Twirling_Solo_F2B_Junior_Lower_Level[[#This Row],[J4 TOTAL]])+Twirling_Solo_F2B_Junior_Lower_Level[[#This Row],[J5 TOTAL]]</f>
        <v>52.699999999999996</v>
      </c>
      <c r="AD3" s="25"/>
      <c r="AE3" s="25"/>
      <c r="AF3" s="25">
        <f>SUM(Twirling_Solo_F2B_Junior_Lower_Level[[#This Row],[Total]]-Twirling_Solo_F2B_Junior_Lower_Level[[#This Row],[Low]]-Twirling_Solo_F2B_Junior_Lower_Level[[#This Row],[High]])</f>
        <v>52.699999999999996</v>
      </c>
      <c r="AG3" s="25">
        <f>AVERAGE(I3,M3,Q3,U3,Y3)</f>
        <v>26.45</v>
      </c>
      <c r="AH3" s="26">
        <f>Twirling_Solo_F2B_Junior_Lower_Level[[#This Row],[Final Total]]</f>
        <v>52.699999999999996</v>
      </c>
      <c r="AI3" s="28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Row],[Category]],Twirling_Solo_F2B_Junior_Lower_Level[FINAL SCORE],"&gt;"&amp;Twirling_Solo_F2B_Junior_Lower_Level[[#This Row],[FINAL SCORE]])+1</f>
        <v>2</v>
      </c>
      <c r="AJ3" s="18" t="s">
        <v>33</v>
      </c>
    </row>
    <row r="4" spans="1:55" ht="15.6" x14ac:dyDescent="0.3">
      <c r="A4" s="18">
        <v>41</v>
      </c>
      <c r="B4" s="19">
        <v>2</v>
      </c>
      <c r="C4" s="19" t="s">
        <v>76</v>
      </c>
      <c r="D4" s="19" t="s">
        <v>27</v>
      </c>
      <c r="E4" s="19" t="s">
        <v>141</v>
      </c>
      <c r="F4" s="31" t="s">
        <v>50</v>
      </c>
      <c r="G4" s="19" t="s">
        <v>49</v>
      </c>
      <c r="H4" s="20" t="s">
        <v>25</v>
      </c>
      <c r="I4" s="21"/>
      <c r="J4" s="22"/>
      <c r="K4" s="23">
        <f>Twirling_Solo_F2B_Junior_Lower_Level[[#This Row],[Judge 1
Tamara Beljak]]-J4</f>
        <v>0</v>
      </c>
      <c r="L4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Row],[Category]],Twirling_Solo_F2B_Junior_Lower_Level[J1 TOTAL],"&gt;"&amp;Twirling_Solo_F2B_Junior_Lower_Level[[#This Row],[J1 TOTAL]])+1</f>
        <v>1</v>
      </c>
      <c r="M4" s="21">
        <v>24.5</v>
      </c>
      <c r="N4" s="22">
        <v>0.1</v>
      </c>
      <c r="O4" s="23">
        <f>Twirling_Solo_F2B_Junior_Lower_Level[[#This Row],[Judge 2
Tihomir Bendelja]]-Twirling_Solo_F2B_Junior_Lower_Level[[#This Row],[J2 (-)]]</f>
        <v>24.4</v>
      </c>
      <c r="P4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Row],[Category]],Twirling_Solo_F2B_Junior_Lower_Level[J2 TOTAL],"&gt;"&amp;Twirling_Solo_F2B_Junior_Lower_Level[[#This Row],[J2 TOTAL]])+1</f>
        <v>3</v>
      </c>
      <c r="Q4" s="21">
        <v>24.4</v>
      </c>
      <c r="R4" s="22">
        <v>0.1</v>
      </c>
      <c r="S4" s="23">
        <f>Twirling_Solo_F2B_Junior_Lower_Level[[#This Row],[Judge 3
Tea Softić]]-R4</f>
        <v>24.299999999999997</v>
      </c>
      <c r="T4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Row],[Category]],Twirling_Solo_F2B_Junior_Lower_Level[J3 TOTAL],"&gt;"&amp;Twirling_Solo_F2B_Junior_Lower_Level[[#This Row],[J3 TOTAL]])+1</f>
        <v>3</v>
      </c>
      <c r="U4" s="21"/>
      <c r="V4" s="22"/>
      <c r="W4" s="23">
        <f>Twirling_Solo_F2B_Junior_Lower_Level[[#This Row],[Judge 4
Bernard Barač]]-V4</f>
        <v>0</v>
      </c>
      <c r="X4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Row],[Category]],Twirling_Solo_F2B_Junior_Lower_Level[J4 TOTAL],"&gt;"&amp;Twirling_Solo_F2B_Junior_Lower_Level[[#This Row],[J4 TOTAL]])+1</f>
        <v>1</v>
      </c>
      <c r="Y4" s="21"/>
      <c r="Z4" s="22"/>
      <c r="AA4" s="23">
        <f>Twirling_Solo_F2B_Junior_Lower_Level[[#This Row],[Judge 5
Barbara Novina]]-Y4</f>
        <v>0</v>
      </c>
      <c r="AB4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Row],[Category]],Twirling_Solo_F2B_Junior_Lower_Level[J5 TOTAL],"&gt;"&amp;Twirling_Solo_F2B_Junior_Lower_Level[[#This Row],[J5 TOTAL]])+1</f>
        <v>1</v>
      </c>
      <c r="AC4" s="25">
        <f>SUM(Twirling_Solo_F2B_Junior_Lower_Level[[#This Row],[J1 TOTAL]]+Twirling_Solo_F2B_Junior_Lower_Level[[#This Row],[J2 TOTAL]]+Twirling_Solo_F2B_Junior_Lower_Level[[#This Row],[J3 TOTAL]]+Twirling_Solo_F2B_Junior_Lower_Level[[#This Row],[J4 TOTAL]])+Twirling_Solo_F2B_Junior_Lower_Level[[#This Row],[J5 TOTAL]]</f>
        <v>48.699999999999996</v>
      </c>
      <c r="AD4" s="25"/>
      <c r="AE4" s="25"/>
      <c r="AF4" s="25">
        <f>SUM(Twirling_Solo_F2B_Junior_Lower_Level[[#This Row],[Total]]-Twirling_Solo_F2B_Junior_Lower_Level[[#This Row],[Low]]-Twirling_Solo_F2B_Junior_Lower_Level[[#This Row],[High]])</f>
        <v>48.699999999999996</v>
      </c>
      <c r="AG4" s="25">
        <f>AVERAGE(I4,M4,Q4,U4,Y4)</f>
        <v>24.45</v>
      </c>
      <c r="AH4" s="26">
        <f>Twirling_Solo_F2B_Junior_Lower_Level[[#This Row],[Final Total]]</f>
        <v>48.699999999999996</v>
      </c>
      <c r="AI4" s="28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Row],[Category]],Twirling_Solo_F2B_Junior_Lower_Level[FINAL SCORE],"&gt;"&amp;Twirling_Solo_F2B_Junior_Lower_Level[[#This Row],[FINAL SCORE]])+1</f>
        <v>3</v>
      </c>
      <c r="AJ4" s="18" t="s">
        <v>33</v>
      </c>
    </row>
    <row r="5" spans="1:55" ht="15.6" x14ac:dyDescent="0.3">
      <c r="A5" s="18">
        <v>43</v>
      </c>
      <c r="B5" s="19">
        <v>2</v>
      </c>
      <c r="C5" s="19" t="s">
        <v>76</v>
      </c>
      <c r="D5" s="19" t="s">
        <v>27</v>
      </c>
      <c r="E5" s="19" t="s">
        <v>141</v>
      </c>
      <c r="F5" s="31" t="s">
        <v>131</v>
      </c>
      <c r="G5" s="19" t="s">
        <v>49</v>
      </c>
      <c r="H5" s="20" t="s">
        <v>25</v>
      </c>
      <c r="I5" s="21"/>
      <c r="J5" s="22"/>
      <c r="K5" s="23">
        <f>Twirling_Solo_F2B_Junior_Lower_Level[[#This Row],[Judge 1
Tamara Beljak]]-J5</f>
        <v>0</v>
      </c>
      <c r="L5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Row],[Category]],Twirling_Solo_F2B_Junior_Lower_Level[J1 TOTAL],"&gt;"&amp;Twirling_Solo_F2B_Junior_Lower_Level[[#This Row],[J1 TOTAL]])+1</f>
        <v>1</v>
      </c>
      <c r="M5" s="21">
        <v>21.4</v>
      </c>
      <c r="N5" s="22">
        <v>1</v>
      </c>
      <c r="O5" s="23">
        <f>Twirling_Solo_F2B_Junior_Lower_Level[[#This Row],[Judge 2
Tihomir Bendelja]]-Twirling_Solo_F2B_Junior_Lower_Level[[#This Row],[J2 (-)]]</f>
        <v>20.399999999999999</v>
      </c>
      <c r="P5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Row],[Category]],Twirling_Solo_F2B_Junior_Lower_Level[J2 TOTAL],"&gt;"&amp;Twirling_Solo_F2B_Junior_Lower_Level[[#This Row],[J2 TOTAL]])+1</f>
        <v>4</v>
      </c>
      <c r="Q5" s="21">
        <v>21.5</v>
      </c>
      <c r="R5" s="22">
        <v>1</v>
      </c>
      <c r="S5" s="23">
        <f>Twirling_Solo_F2B_Junior_Lower_Level[[#This Row],[Judge 3
Tea Softić]]-R5</f>
        <v>20.5</v>
      </c>
      <c r="T5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Row],[Category]],Twirling_Solo_F2B_Junior_Lower_Level[J3 TOTAL],"&gt;"&amp;Twirling_Solo_F2B_Junior_Lower_Level[[#This Row],[J3 TOTAL]])+1</f>
        <v>4</v>
      </c>
      <c r="U5" s="21"/>
      <c r="V5" s="22"/>
      <c r="W5" s="23">
        <f>Twirling_Solo_F2B_Junior_Lower_Level[[#This Row],[Judge 4
Bernard Barač]]-V5</f>
        <v>0</v>
      </c>
      <c r="X5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Row],[Category]],Twirling_Solo_F2B_Junior_Lower_Level[J4 TOTAL],"&gt;"&amp;Twirling_Solo_F2B_Junior_Lower_Level[[#This Row],[J4 TOTAL]])+1</f>
        <v>1</v>
      </c>
      <c r="Y5" s="21"/>
      <c r="Z5" s="22"/>
      <c r="AA5" s="23">
        <f>Twirling_Solo_F2B_Junior_Lower_Level[[#This Row],[Judge 5
Barbara Novina]]-Y5</f>
        <v>0</v>
      </c>
      <c r="AB5" s="24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Row],[Category]],Twirling_Solo_F2B_Junior_Lower_Level[J5 TOTAL],"&gt;"&amp;Twirling_Solo_F2B_Junior_Lower_Level[[#This Row],[J5 TOTAL]])+1</f>
        <v>1</v>
      </c>
      <c r="AC5" s="25">
        <f>SUM(Twirling_Solo_F2B_Junior_Lower_Level[[#This Row],[J1 TOTAL]]+Twirling_Solo_F2B_Junior_Lower_Level[[#This Row],[J2 TOTAL]]+Twirling_Solo_F2B_Junior_Lower_Level[[#This Row],[J3 TOTAL]]+Twirling_Solo_F2B_Junior_Lower_Level[[#This Row],[J4 TOTAL]])+Twirling_Solo_F2B_Junior_Lower_Level[[#This Row],[J5 TOTAL]]</f>
        <v>40.9</v>
      </c>
      <c r="AD5" s="25"/>
      <c r="AE5" s="25"/>
      <c r="AF5" s="25">
        <f>SUM(Twirling_Solo_F2B_Junior_Lower_Level[[#This Row],[Total]]-Twirling_Solo_F2B_Junior_Lower_Level[[#This Row],[Low]]-Twirling_Solo_F2B_Junior_Lower_Level[[#This Row],[High]])</f>
        <v>40.9</v>
      </c>
      <c r="AG5" s="25">
        <f>AVERAGE(I5,M5,Q5,U5,Y5)</f>
        <v>21.45</v>
      </c>
      <c r="AH5" s="26">
        <f>Twirling_Solo_F2B_Junior_Lower_Level[[#This Row],[Final Total]]</f>
        <v>40.9</v>
      </c>
      <c r="AI5" s="28">
        <f>COUNTIFS(Twirling_Solo_F2B_Junior_Lower_Level[Age
Division],Twirling_Solo_F2B_Junior_Lower_Level[[#This Row],[Age
Division]],Twirling_Solo_F2B_Junior_Lower_Level[Category],Twirling_Solo_F2B_Junior_Lower_Level[[#This Row],[Category]],Twirling_Solo_F2B_Junior_Lower_Level[FINAL SCORE],"&gt;"&amp;Twirling_Solo_F2B_Junior_Lower_Level[[#This Row],[FINAL SCORE]])+1</f>
        <v>4</v>
      </c>
      <c r="AJ5" s="18" t="s">
        <v>33</v>
      </c>
    </row>
  </sheetData>
  <sheetProtection algorithmName="SHA-512" hashValue="mTWAgCRxQhgcvuyqdGWLYx8l73fgT67HVQpFBIuSx3NW+G0RZ/VkJa/o9KrHUYJ5RVKQGS+3RmAuc7aPyynOvA==" saltValue="ZZZEvccL595L77nXwb+IZ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A2631-C25C-4310-90D9-B78A72482DC3}">
  <sheetPr codeName="Sheet13"/>
  <dimension ref="A1:BC8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5" width="9.6640625" style="30" bestFit="1" customWidth="1"/>
    <col min="6" max="6" width="12.109375" style="20" bestFit="1" customWidth="1"/>
    <col min="7" max="7" width="43.33203125" style="20" bestFit="1" customWidth="1"/>
    <col min="8" max="8" width="9.6640625" style="20" bestFit="1" customWidth="1"/>
    <col min="9" max="20" width="9.109375" style="20" customWidth="1"/>
    <col min="21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50</v>
      </c>
      <c r="B2" s="19">
        <v>1</v>
      </c>
      <c r="C2" s="19" t="s">
        <v>82</v>
      </c>
      <c r="D2" s="19" t="s">
        <v>30</v>
      </c>
      <c r="E2" s="19" t="s">
        <v>124</v>
      </c>
      <c r="F2" s="31" t="s">
        <v>125</v>
      </c>
      <c r="G2" s="19" t="s">
        <v>49</v>
      </c>
      <c r="H2" s="20" t="s">
        <v>25</v>
      </c>
      <c r="I2" s="21">
        <v>23.3</v>
      </c>
      <c r="J2" s="22">
        <v>0.5</v>
      </c>
      <c r="K2" s="23">
        <f>Twirling_Solo_SoloDance_Children[[#This Row],[Judge 1
Tamara Beljak]]-J2</f>
        <v>22.8</v>
      </c>
      <c r="L2" s="24">
        <f>COUNTIFS(Twirling_Solo_SoloDance_Children[Age
Division],Twirling_Solo_SoloDance_Children[[#This Row],[Age
Division]],Twirling_Solo_SoloDance_Children[Category],Twirling_Solo_SoloDance_Children[[#This Row],[Category]],Twirling_Solo_SoloDance_Children[J1 TOTAL],"&gt;"&amp;Twirling_Solo_SoloDance_Children[[#This Row],[J1 TOTAL]])+1</f>
        <v>1</v>
      </c>
      <c r="M2" s="21">
        <v>21.8</v>
      </c>
      <c r="N2" s="22">
        <v>0.5</v>
      </c>
      <c r="O2" s="23">
        <f>Twirling_Solo_SoloDance_Children[[#This Row],[Judge 2
Tihomir Bendelja]]-Twirling_Solo_SoloDance_Children[[#This Row],[J2 (-)]]</f>
        <v>21.3</v>
      </c>
      <c r="P2" s="24">
        <f>COUNTIFS(Twirling_Solo_SoloDance_Children[Age
Division],Twirling_Solo_SoloDance_Children[[#This Row],[Age
Division]],Twirling_Solo_SoloDance_Children[Category],Twirling_Solo_SoloDance_Children[[#This Row],[Category]],Twirling_Solo_SoloDance_Children[J2 TOTAL],"&gt;"&amp;Twirling_Solo_SoloDance_Children[[#This Row],[J2 TOTAL]])+1</f>
        <v>1</v>
      </c>
      <c r="Q2" s="21">
        <v>22</v>
      </c>
      <c r="R2" s="22">
        <v>0.5</v>
      </c>
      <c r="S2" s="23">
        <f>Twirling_Solo_SoloDance_Children[[#This Row],[Judge 3
Tea Softić]]-R2</f>
        <v>21.5</v>
      </c>
      <c r="T2" s="24">
        <f>COUNTIFS(Twirling_Solo_SoloDance_Children[Age
Division],Twirling_Solo_SoloDance_Children[[#This Row],[Age
Division]],Twirling_Solo_SoloDance_Children[Category],Twirling_Solo_SoloDance_Children[[#This Row],[Category]],Twirling_Solo_SoloDance_Children[J3 TOTAL],"&gt;"&amp;Twirling_Solo_SoloDance_Children[[#This Row],[J3 TOTAL]])+1</f>
        <v>1</v>
      </c>
      <c r="U2" s="21"/>
      <c r="V2" s="22"/>
      <c r="W2" s="23">
        <f>Twirling_Solo_SoloDance_Children[[#This Row],[Judge 4
Bernard Barač]]-V2</f>
        <v>0</v>
      </c>
      <c r="X2" s="24">
        <f>COUNTIFS(Twirling_Solo_SoloDance_Children[Age
Division],Twirling_Solo_SoloDance_Children[[#This Row],[Age
Division]],Twirling_Solo_SoloDance_Children[Category],Twirling_Solo_SoloDance_Children[[#This Row],[Category]],Twirling_Solo_SoloDance_Children[J4 TOTAL],"&gt;"&amp;Twirling_Solo_SoloDance_Children[[#This Row],[J4 TOTAL]])+1</f>
        <v>1</v>
      </c>
      <c r="Y2" s="21"/>
      <c r="Z2" s="22"/>
      <c r="AA2" s="23">
        <f>Twirling_Solo_SoloDance_Children[[#This Row],[Judge 5
Barbara Novina]]-Y2</f>
        <v>0</v>
      </c>
      <c r="AB2" s="24">
        <f>COUNTIFS(Twirling_Solo_SoloDance_Children[Age
Division],Twirling_Solo_SoloDance_Children[[#This Row],[Age
Division]],Twirling_Solo_SoloDance_Children[Category],Twirling_Solo_SoloDance_Children[[#This Row],[Category]],Twirling_Solo_SoloDance_Children[J5 TOTAL],"&gt;"&amp;Twirling_Solo_SoloDance_Children[[#This Row],[J5 TOTAL]])+1</f>
        <v>1</v>
      </c>
      <c r="AC2" s="25">
        <f>SUM(Twirling_Solo_SoloDance_Children[[#This Row],[J1 TOTAL]]+Twirling_Solo_SoloDance_Children[[#This Row],[J2 TOTAL]]+Twirling_Solo_SoloDance_Children[[#This Row],[J3 TOTAL]]+Twirling_Solo_SoloDance_Children[[#This Row],[J4 TOTAL]])+Twirling_Solo_SoloDance_Children[[#This Row],[J5 TOTAL]]</f>
        <v>65.599999999999994</v>
      </c>
      <c r="AD2" s="25"/>
      <c r="AE2" s="25"/>
      <c r="AF2" s="25">
        <f>SUM(Twirling_Solo_SoloDance_Children[[#This Row],[Total]]-Twirling_Solo_SoloDance_Children[[#This Row],[Low]]-Twirling_Solo_SoloDance_Children[[#This Row],[High]])</f>
        <v>65.599999999999994</v>
      </c>
      <c r="AG2" s="25">
        <f t="shared" ref="AG2:AG8" si="0">AVERAGE(I2,M2,Q2,U2,Y2)</f>
        <v>22.366666666666664</v>
      </c>
      <c r="AH2" s="26">
        <f>Twirling_Solo_SoloDance_Children[[#This Row],[Final Total]]</f>
        <v>65.599999999999994</v>
      </c>
      <c r="AI2" s="28">
        <f>COUNTIFS(Twirling_Solo_SoloDance_Children[Age
Division],Twirling_Solo_SoloDance_Children[[#This Row],[Age
Division]],Twirling_Solo_SoloDance_Children[Category],Twirling_Solo_SoloDance_Children[[#This Row],[Category]],Twirling_Solo_SoloDance_Children[FINAL SCORE],"&gt;"&amp;Twirling_Solo_SoloDance_Children[[#This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56</v>
      </c>
      <c r="B3" s="19">
        <v>1</v>
      </c>
      <c r="C3" s="19" t="s">
        <v>82</v>
      </c>
      <c r="D3" s="19" t="s">
        <v>30</v>
      </c>
      <c r="E3" s="19" t="s">
        <v>124</v>
      </c>
      <c r="F3" s="31" t="s">
        <v>144</v>
      </c>
      <c r="G3" s="19" t="s">
        <v>86</v>
      </c>
      <c r="H3" s="20" t="s">
        <v>25</v>
      </c>
      <c r="I3" s="21">
        <v>16.8</v>
      </c>
      <c r="J3" s="22">
        <v>1.5</v>
      </c>
      <c r="K3" s="23">
        <f>Twirling_Solo_SoloDance_Children[[#This Row],[Judge 1
Tamara Beljak]]-J3</f>
        <v>15.3</v>
      </c>
      <c r="L3" s="24">
        <f>COUNTIFS(Twirling_Solo_SoloDance_Children[Age
Division],Twirling_Solo_SoloDance_Children[[#This Row],[Age
Division]],Twirling_Solo_SoloDance_Children[Category],Twirling_Solo_SoloDance_Children[[#This Row],[Category]],Twirling_Solo_SoloDance_Children[J1 TOTAL],"&gt;"&amp;Twirling_Solo_SoloDance_Children[[#This Row],[J1 TOTAL]])+1</f>
        <v>2</v>
      </c>
      <c r="M3" s="21">
        <v>16.899999999999999</v>
      </c>
      <c r="N3" s="22">
        <v>1.5</v>
      </c>
      <c r="O3" s="23">
        <f>Twirling_Solo_SoloDance_Children[[#This Row],[Judge 2
Tihomir Bendelja]]-Twirling_Solo_SoloDance_Children[[#This Row],[J2 (-)]]</f>
        <v>15.399999999999999</v>
      </c>
      <c r="P3" s="24">
        <f>COUNTIFS(Twirling_Solo_SoloDance_Children[Age
Division],Twirling_Solo_SoloDance_Children[[#This Row],[Age
Division]],Twirling_Solo_SoloDance_Children[Category],Twirling_Solo_SoloDance_Children[[#This Row],[Category]],Twirling_Solo_SoloDance_Children[J2 TOTAL],"&gt;"&amp;Twirling_Solo_SoloDance_Children[[#This Row],[J2 TOTAL]])+1</f>
        <v>2</v>
      </c>
      <c r="Q3" s="21">
        <v>14</v>
      </c>
      <c r="R3" s="22">
        <v>1.5</v>
      </c>
      <c r="S3" s="23">
        <f>Twirling_Solo_SoloDance_Children[[#This Row],[Judge 3
Tea Softić]]-R3</f>
        <v>12.5</v>
      </c>
      <c r="T3" s="24">
        <f>COUNTIFS(Twirling_Solo_SoloDance_Children[Age
Division],Twirling_Solo_SoloDance_Children[[#This Row],[Age
Division]],Twirling_Solo_SoloDance_Children[Category],Twirling_Solo_SoloDance_Children[[#This Row],[Category]],Twirling_Solo_SoloDance_Children[J3 TOTAL],"&gt;"&amp;Twirling_Solo_SoloDance_Children[[#This Row],[J3 TOTAL]])+1</f>
        <v>2</v>
      </c>
      <c r="U3" s="21"/>
      <c r="V3" s="22"/>
      <c r="W3" s="23">
        <f>Twirling_Solo_SoloDance_Children[[#This Row],[Judge 4
Bernard Barač]]-V3</f>
        <v>0</v>
      </c>
      <c r="X3" s="24">
        <f>COUNTIFS(Twirling_Solo_SoloDance_Children[Age
Division],Twirling_Solo_SoloDance_Children[[#This Row],[Age
Division]],Twirling_Solo_SoloDance_Children[Category],Twirling_Solo_SoloDance_Children[[#This Row],[Category]],Twirling_Solo_SoloDance_Children[J4 TOTAL],"&gt;"&amp;Twirling_Solo_SoloDance_Children[[#This Row],[J4 TOTAL]])+1</f>
        <v>1</v>
      </c>
      <c r="Y3" s="21"/>
      <c r="Z3" s="22"/>
      <c r="AA3" s="23">
        <f>Twirling_Solo_SoloDance_Children[[#This Row],[Judge 5
Barbara Novina]]-Y3</f>
        <v>0</v>
      </c>
      <c r="AB3" s="24">
        <f>COUNTIFS(Twirling_Solo_SoloDance_Children[Age
Division],Twirling_Solo_SoloDance_Children[[#This Row],[Age
Division]],Twirling_Solo_SoloDance_Children[Category],Twirling_Solo_SoloDance_Children[[#This Row],[Category]],Twirling_Solo_SoloDance_Children[J5 TOTAL],"&gt;"&amp;Twirling_Solo_SoloDance_Children[[#This Row],[J5 TOTAL]])+1</f>
        <v>1</v>
      </c>
      <c r="AC3" s="25">
        <f>SUM(Twirling_Solo_SoloDance_Children[[#This Row],[J1 TOTAL]]+Twirling_Solo_SoloDance_Children[[#This Row],[J2 TOTAL]]+Twirling_Solo_SoloDance_Children[[#This Row],[J3 TOTAL]]+Twirling_Solo_SoloDance_Children[[#This Row],[J4 TOTAL]])+Twirling_Solo_SoloDance_Children[[#This Row],[J5 TOTAL]]</f>
        <v>43.2</v>
      </c>
      <c r="AD3" s="25"/>
      <c r="AE3" s="25"/>
      <c r="AF3" s="25">
        <f>SUM(Twirling_Solo_SoloDance_Children[[#This Row],[Total]]-Twirling_Solo_SoloDance_Children[[#This Row],[Low]]-Twirling_Solo_SoloDance_Children[[#This Row],[High]])</f>
        <v>43.2</v>
      </c>
      <c r="AG3" s="25">
        <f t="shared" si="0"/>
        <v>15.9</v>
      </c>
      <c r="AH3" s="26">
        <f>Twirling_Solo_SoloDance_Children[[#This Row],[Final Total]]</f>
        <v>43.2</v>
      </c>
      <c r="AI3" s="28">
        <f>COUNTIFS(Twirling_Solo_SoloDance_Children[Age
Division],Twirling_Solo_SoloDance_Children[[#This Row],[Age
Division]],Twirling_Solo_SoloDance_Children[Category],Twirling_Solo_SoloDance_Children[[#This Row],[Category]],Twirling_Solo_SoloDance_Children[FINAL SCORE],"&gt;"&amp;Twirling_Solo_SoloDance_Children[[#This Row],[FINAL SCORE]])+1</f>
        <v>2</v>
      </c>
      <c r="AJ3" s="18" t="s">
        <v>33</v>
      </c>
    </row>
    <row r="4" spans="1:55" ht="15.6" x14ac:dyDescent="0.3">
      <c r="A4" s="18">
        <v>60</v>
      </c>
      <c r="B4" s="19">
        <v>1</v>
      </c>
      <c r="C4" s="19" t="s">
        <v>82</v>
      </c>
      <c r="D4" s="19" t="s">
        <v>30</v>
      </c>
      <c r="E4" s="19" t="s">
        <v>124</v>
      </c>
      <c r="F4" s="31" t="s">
        <v>146</v>
      </c>
      <c r="G4" s="19" t="s">
        <v>63</v>
      </c>
      <c r="H4" s="20" t="s">
        <v>25</v>
      </c>
      <c r="I4" s="21">
        <v>15.2</v>
      </c>
      <c r="J4" s="22">
        <v>0</v>
      </c>
      <c r="K4" s="23">
        <f>Twirling_Solo_SoloDance_Children[[#This Row],[Judge 1
Tamara Beljak]]-J4</f>
        <v>15.2</v>
      </c>
      <c r="L4" s="24">
        <f>COUNTIFS(Twirling_Solo_SoloDance_Children[Age
Division],Twirling_Solo_SoloDance_Children[[#This Row],[Age
Division]],Twirling_Solo_SoloDance_Children[Category],Twirling_Solo_SoloDance_Children[[#This Row],[Category]],Twirling_Solo_SoloDance_Children[J1 TOTAL],"&gt;"&amp;Twirling_Solo_SoloDance_Children[[#This Row],[J1 TOTAL]])+1</f>
        <v>3</v>
      </c>
      <c r="M4" s="21">
        <v>15.3</v>
      </c>
      <c r="N4" s="22">
        <v>0</v>
      </c>
      <c r="O4" s="23">
        <f>Twirling_Solo_SoloDance_Children[[#This Row],[Judge 2
Tihomir Bendelja]]-Twirling_Solo_SoloDance_Children[[#This Row],[J2 (-)]]</f>
        <v>15.3</v>
      </c>
      <c r="P4" s="24">
        <f>COUNTIFS(Twirling_Solo_SoloDance_Children[Age
Division],Twirling_Solo_SoloDance_Children[[#This Row],[Age
Division]],Twirling_Solo_SoloDance_Children[Category],Twirling_Solo_SoloDance_Children[[#This Row],[Category]],Twirling_Solo_SoloDance_Children[J2 TOTAL],"&gt;"&amp;Twirling_Solo_SoloDance_Children[[#This Row],[J2 TOTAL]])+1</f>
        <v>3</v>
      </c>
      <c r="Q4" s="21">
        <v>12.4</v>
      </c>
      <c r="R4" s="22">
        <v>0</v>
      </c>
      <c r="S4" s="23">
        <f>Twirling_Solo_SoloDance_Children[[#This Row],[Judge 3
Tea Softić]]-R4</f>
        <v>12.4</v>
      </c>
      <c r="T4" s="24">
        <f>COUNTIFS(Twirling_Solo_SoloDance_Children[Age
Division],Twirling_Solo_SoloDance_Children[[#This Row],[Age
Division]],Twirling_Solo_SoloDance_Children[Category],Twirling_Solo_SoloDance_Children[[#This Row],[Category]],Twirling_Solo_SoloDance_Children[J3 TOTAL],"&gt;"&amp;Twirling_Solo_SoloDance_Children[[#This Row],[J3 TOTAL]])+1</f>
        <v>3</v>
      </c>
      <c r="U4" s="21"/>
      <c r="V4" s="22"/>
      <c r="W4" s="23">
        <f>Twirling_Solo_SoloDance_Children[[#This Row],[Judge 4
Bernard Barač]]-V4</f>
        <v>0</v>
      </c>
      <c r="X4" s="24">
        <f>COUNTIFS(Twirling_Solo_SoloDance_Children[Age
Division],Twirling_Solo_SoloDance_Children[[#This Row],[Age
Division]],Twirling_Solo_SoloDance_Children[Category],Twirling_Solo_SoloDance_Children[[#This Row],[Category]],Twirling_Solo_SoloDance_Children[J4 TOTAL],"&gt;"&amp;Twirling_Solo_SoloDance_Children[[#This Row],[J4 TOTAL]])+1</f>
        <v>1</v>
      </c>
      <c r="Y4" s="21"/>
      <c r="Z4" s="22"/>
      <c r="AA4" s="23">
        <f>Twirling_Solo_SoloDance_Children[[#This Row],[Judge 5
Barbara Novina]]-Y4</f>
        <v>0</v>
      </c>
      <c r="AB4" s="24">
        <f>COUNTIFS(Twirling_Solo_SoloDance_Children[Age
Division],Twirling_Solo_SoloDance_Children[[#This Row],[Age
Division]],Twirling_Solo_SoloDance_Children[Category],Twirling_Solo_SoloDance_Children[[#This Row],[Category]],Twirling_Solo_SoloDance_Children[J5 TOTAL],"&gt;"&amp;Twirling_Solo_SoloDance_Children[[#This Row],[J5 TOTAL]])+1</f>
        <v>1</v>
      </c>
      <c r="AC4" s="25">
        <f>SUM(Twirling_Solo_SoloDance_Children[[#This Row],[J1 TOTAL]]+Twirling_Solo_SoloDance_Children[[#This Row],[J2 TOTAL]]+Twirling_Solo_SoloDance_Children[[#This Row],[J3 TOTAL]]+Twirling_Solo_SoloDance_Children[[#This Row],[J4 TOTAL]])+Twirling_Solo_SoloDance_Children[[#This Row],[J5 TOTAL]]</f>
        <v>42.9</v>
      </c>
      <c r="AD4" s="25"/>
      <c r="AE4" s="25"/>
      <c r="AF4" s="25">
        <f>SUM(Twirling_Solo_SoloDance_Children[[#This Row],[Total]]-Twirling_Solo_SoloDance_Children[[#This Row],[Low]]-Twirling_Solo_SoloDance_Children[[#This Row],[High]])</f>
        <v>42.9</v>
      </c>
      <c r="AG4" s="25">
        <f t="shared" si="0"/>
        <v>14.299999999999999</v>
      </c>
      <c r="AH4" s="26">
        <f>Twirling_Solo_SoloDance_Children[[#This Row],[Final Total]]</f>
        <v>42.9</v>
      </c>
      <c r="AI4" s="28">
        <f>COUNTIFS(Twirling_Solo_SoloDance_Children[Age
Division],Twirling_Solo_SoloDance_Children[[#This Row],[Age
Division]],Twirling_Solo_SoloDance_Children[Category],Twirling_Solo_SoloDance_Children[[#This Row],[Category]],Twirling_Solo_SoloDance_Children[FINAL SCORE],"&gt;"&amp;Twirling_Solo_SoloDance_Children[[#This Row],[FINAL SCORE]])+1</f>
        <v>3</v>
      </c>
      <c r="AJ4" s="18" t="s">
        <v>33</v>
      </c>
    </row>
    <row r="5" spans="1:55" ht="15.6" x14ac:dyDescent="0.3">
      <c r="A5" s="18">
        <v>54</v>
      </c>
      <c r="B5" s="19">
        <v>1</v>
      </c>
      <c r="C5" s="19" t="s">
        <v>82</v>
      </c>
      <c r="D5" s="19" t="s">
        <v>30</v>
      </c>
      <c r="E5" s="19" t="s">
        <v>124</v>
      </c>
      <c r="F5" s="31" t="s">
        <v>127</v>
      </c>
      <c r="G5" s="19" t="s">
        <v>49</v>
      </c>
      <c r="H5" s="20" t="s">
        <v>25</v>
      </c>
      <c r="I5" s="21">
        <v>12.3</v>
      </c>
      <c r="J5" s="22">
        <v>0</v>
      </c>
      <c r="K5" s="23">
        <f>Twirling_Solo_SoloDance_Children[[#This Row],[Judge 1
Tamara Beljak]]-J5</f>
        <v>12.3</v>
      </c>
      <c r="L5" s="24">
        <f>COUNTIFS(Twirling_Solo_SoloDance_Children[Age
Division],Twirling_Solo_SoloDance_Children[[#This Row],[Age
Division]],Twirling_Solo_SoloDance_Children[Category],Twirling_Solo_SoloDance_Children[[#This Row],[Category]],Twirling_Solo_SoloDance_Children[J1 TOTAL],"&gt;"&amp;Twirling_Solo_SoloDance_Children[[#This Row],[J1 TOTAL]])+1</f>
        <v>4</v>
      </c>
      <c r="M5" s="21">
        <v>10.7</v>
      </c>
      <c r="N5" s="22">
        <v>0</v>
      </c>
      <c r="O5" s="23">
        <f>Twirling_Solo_SoloDance_Children[[#This Row],[Judge 2
Tihomir Bendelja]]-Twirling_Solo_SoloDance_Children[[#This Row],[J2 (-)]]</f>
        <v>10.7</v>
      </c>
      <c r="P5" s="24">
        <f>COUNTIFS(Twirling_Solo_SoloDance_Children[Age
Division],Twirling_Solo_SoloDance_Children[[#This Row],[Age
Division]],Twirling_Solo_SoloDance_Children[Category],Twirling_Solo_SoloDance_Children[[#This Row],[Category]],Twirling_Solo_SoloDance_Children[J2 TOTAL],"&gt;"&amp;Twirling_Solo_SoloDance_Children[[#This Row],[J2 TOTAL]])+1</f>
        <v>4</v>
      </c>
      <c r="Q5" s="21">
        <v>12.4</v>
      </c>
      <c r="R5" s="22">
        <v>0</v>
      </c>
      <c r="S5" s="23">
        <f>Twirling_Solo_SoloDance_Children[[#This Row],[Judge 3
Tea Softić]]-R5</f>
        <v>12.4</v>
      </c>
      <c r="T5" s="24">
        <f>COUNTIFS(Twirling_Solo_SoloDance_Children[Age
Division],Twirling_Solo_SoloDance_Children[[#This Row],[Age
Division]],Twirling_Solo_SoloDance_Children[Category],Twirling_Solo_SoloDance_Children[[#This Row],[Category]],Twirling_Solo_SoloDance_Children[J3 TOTAL],"&gt;"&amp;Twirling_Solo_SoloDance_Children[[#This Row],[J3 TOTAL]])+1</f>
        <v>3</v>
      </c>
      <c r="U5" s="21"/>
      <c r="V5" s="22"/>
      <c r="W5" s="23">
        <f>Twirling_Solo_SoloDance_Children[[#This Row],[Judge 4
Bernard Barač]]-V5</f>
        <v>0</v>
      </c>
      <c r="X5" s="24">
        <f>COUNTIFS(Twirling_Solo_SoloDance_Children[Age
Division],Twirling_Solo_SoloDance_Children[[#This Row],[Age
Division]],Twirling_Solo_SoloDance_Children[Category],Twirling_Solo_SoloDance_Children[[#This Row],[Category]],Twirling_Solo_SoloDance_Children[J4 TOTAL],"&gt;"&amp;Twirling_Solo_SoloDance_Children[[#This Row],[J4 TOTAL]])+1</f>
        <v>1</v>
      </c>
      <c r="Y5" s="21"/>
      <c r="Z5" s="22"/>
      <c r="AA5" s="23">
        <f>Twirling_Solo_SoloDance_Children[[#This Row],[Judge 5
Barbara Novina]]-Y5</f>
        <v>0</v>
      </c>
      <c r="AB5" s="24">
        <f>COUNTIFS(Twirling_Solo_SoloDance_Children[Age
Division],Twirling_Solo_SoloDance_Children[[#This Row],[Age
Division]],Twirling_Solo_SoloDance_Children[Category],Twirling_Solo_SoloDance_Children[[#This Row],[Category]],Twirling_Solo_SoloDance_Children[J5 TOTAL],"&gt;"&amp;Twirling_Solo_SoloDance_Children[[#This Row],[J5 TOTAL]])+1</f>
        <v>1</v>
      </c>
      <c r="AC5" s="25">
        <f>SUM(Twirling_Solo_SoloDance_Children[[#This Row],[J1 TOTAL]]+Twirling_Solo_SoloDance_Children[[#This Row],[J2 TOTAL]]+Twirling_Solo_SoloDance_Children[[#This Row],[J3 TOTAL]]+Twirling_Solo_SoloDance_Children[[#This Row],[J4 TOTAL]])+Twirling_Solo_SoloDance_Children[[#This Row],[J5 TOTAL]]</f>
        <v>35.4</v>
      </c>
      <c r="AD5" s="25"/>
      <c r="AE5" s="25"/>
      <c r="AF5" s="25">
        <f>SUM(Twirling_Solo_SoloDance_Children[[#This Row],[Total]]-Twirling_Solo_SoloDance_Children[[#This Row],[Low]]-Twirling_Solo_SoloDance_Children[[#This Row],[High]])</f>
        <v>35.4</v>
      </c>
      <c r="AG5" s="25">
        <f t="shared" si="0"/>
        <v>11.799999999999999</v>
      </c>
      <c r="AH5" s="26">
        <f>Twirling_Solo_SoloDance_Children[[#This Row],[Final Total]]</f>
        <v>35.4</v>
      </c>
      <c r="AI5" s="28">
        <f>COUNTIFS(Twirling_Solo_SoloDance_Children[Age
Division],Twirling_Solo_SoloDance_Children[[#This Row],[Age
Division]],Twirling_Solo_SoloDance_Children[Category],Twirling_Solo_SoloDance_Children[[#This Row],[Category]],Twirling_Solo_SoloDance_Children[FINAL SCORE],"&gt;"&amp;Twirling_Solo_SoloDance_Children[[#This Row],[FINAL SCORE]])+1</f>
        <v>4</v>
      </c>
      <c r="AJ5" s="18" t="s">
        <v>33</v>
      </c>
    </row>
    <row r="6" spans="1:55" ht="15.6" x14ac:dyDescent="0.3">
      <c r="A6" s="18">
        <v>48</v>
      </c>
      <c r="B6" s="19">
        <v>1</v>
      </c>
      <c r="C6" s="19" t="s">
        <v>82</v>
      </c>
      <c r="D6" s="19" t="s">
        <v>30</v>
      </c>
      <c r="E6" s="19" t="s">
        <v>124</v>
      </c>
      <c r="F6" s="31" t="s">
        <v>126</v>
      </c>
      <c r="G6" s="19" t="s">
        <v>49</v>
      </c>
      <c r="H6" s="20" t="s">
        <v>25</v>
      </c>
      <c r="I6" s="21">
        <v>9.9</v>
      </c>
      <c r="J6" s="22">
        <v>0.5</v>
      </c>
      <c r="K6" s="23">
        <f>Twirling_Solo_SoloDance_Children[[#This Row],[Judge 1
Tamara Beljak]]-J6</f>
        <v>9.4</v>
      </c>
      <c r="L6" s="24">
        <f>COUNTIFS(Twirling_Solo_SoloDance_Children[Age
Division],Twirling_Solo_SoloDance_Children[[#This Row],[Age
Division]],Twirling_Solo_SoloDance_Children[Category],Twirling_Solo_SoloDance_Children[[#This Row],[Category]],Twirling_Solo_SoloDance_Children[J1 TOTAL],"&gt;"&amp;Twirling_Solo_SoloDance_Children[[#This Row],[J1 TOTAL]])+1</f>
        <v>5</v>
      </c>
      <c r="M6" s="21">
        <v>9.6</v>
      </c>
      <c r="N6" s="22">
        <v>0.5</v>
      </c>
      <c r="O6" s="23">
        <f>Twirling_Solo_SoloDance_Children[[#This Row],[Judge 2
Tihomir Bendelja]]-Twirling_Solo_SoloDance_Children[[#This Row],[J2 (-)]]</f>
        <v>9.1</v>
      </c>
      <c r="P6" s="24">
        <f>COUNTIFS(Twirling_Solo_SoloDance_Children[Age
Division],Twirling_Solo_SoloDance_Children[[#This Row],[Age
Division]],Twirling_Solo_SoloDance_Children[Category],Twirling_Solo_SoloDance_Children[[#This Row],[Category]],Twirling_Solo_SoloDance_Children[J2 TOTAL],"&gt;"&amp;Twirling_Solo_SoloDance_Children[[#This Row],[J2 TOTAL]])+1</f>
        <v>5</v>
      </c>
      <c r="Q6" s="21">
        <v>9.8000000000000007</v>
      </c>
      <c r="R6" s="22">
        <v>0.5</v>
      </c>
      <c r="S6" s="23">
        <f>Twirling_Solo_SoloDance_Children[[#This Row],[Judge 3
Tea Softić]]-R6</f>
        <v>9.3000000000000007</v>
      </c>
      <c r="T6" s="24">
        <f>COUNTIFS(Twirling_Solo_SoloDance_Children[Age
Division],Twirling_Solo_SoloDance_Children[[#This Row],[Age
Division]],Twirling_Solo_SoloDance_Children[Category],Twirling_Solo_SoloDance_Children[[#This Row],[Category]],Twirling_Solo_SoloDance_Children[J3 TOTAL],"&gt;"&amp;Twirling_Solo_SoloDance_Children[[#This Row],[J3 TOTAL]])+1</f>
        <v>5</v>
      </c>
      <c r="U6" s="21"/>
      <c r="V6" s="22"/>
      <c r="W6" s="23">
        <f>Twirling_Solo_SoloDance_Children[[#This Row],[Judge 4
Bernard Barač]]-V6</f>
        <v>0</v>
      </c>
      <c r="X6" s="24">
        <f>COUNTIFS(Twirling_Solo_SoloDance_Children[Age
Division],Twirling_Solo_SoloDance_Children[[#This Row],[Age
Division]],Twirling_Solo_SoloDance_Children[Category],Twirling_Solo_SoloDance_Children[[#This Row],[Category]],Twirling_Solo_SoloDance_Children[J4 TOTAL],"&gt;"&amp;Twirling_Solo_SoloDance_Children[[#This Row],[J4 TOTAL]])+1</f>
        <v>1</v>
      </c>
      <c r="Y6" s="21"/>
      <c r="Z6" s="22"/>
      <c r="AA6" s="23">
        <f>Twirling_Solo_SoloDance_Children[[#This Row],[Judge 5
Barbara Novina]]-Y6</f>
        <v>0</v>
      </c>
      <c r="AB6" s="24">
        <f>COUNTIFS(Twirling_Solo_SoloDance_Children[Age
Division],Twirling_Solo_SoloDance_Children[[#This Row],[Age
Division]],Twirling_Solo_SoloDance_Children[Category],Twirling_Solo_SoloDance_Children[[#This Row],[Category]],Twirling_Solo_SoloDance_Children[J5 TOTAL],"&gt;"&amp;Twirling_Solo_SoloDance_Children[[#This Row],[J5 TOTAL]])+1</f>
        <v>1</v>
      </c>
      <c r="AC6" s="25">
        <f>SUM(Twirling_Solo_SoloDance_Children[[#This Row],[J1 TOTAL]]+Twirling_Solo_SoloDance_Children[[#This Row],[J2 TOTAL]]+Twirling_Solo_SoloDance_Children[[#This Row],[J3 TOTAL]]+Twirling_Solo_SoloDance_Children[[#This Row],[J4 TOTAL]])+Twirling_Solo_SoloDance_Children[[#This Row],[J5 TOTAL]]</f>
        <v>27.8</v>
      </c>
      <c r="AD6" s="25"/>
      <c r="AE6" s="25"/>
      <c r="AF6" s="25">
        <f>SUM(Twirling_Solo_SoloDance_Children[[#This Row],[Total]]-Twirling_Solo_SoloDance_Children[[#This Row],[Low]]-Twirling_Solo_SoloDance_Children[[#This Row],[High]])</f>
        <v>27.8</v>
      </c>
      <c r="AG6" s="25">
        <f t="shared" si="0"/>
        <v>9.7666666666666675</v>
      </c>
      <c r="AH6" s="26">
        <f>Twirling_Solo_SoloDance_Children[[#This Row],[Final Total]]</f>
        <v>27.8</v>
      </c>
      <c r="AI6" s="27">
        <f>COUNTIFS(Twirling_Solo_SoloDance_Children[Age
Division],Twirling_Solo_SoloDance_Children[[#This Row],[Age
Division]],Twirling_Solo_SoloDance_Children[Category],Twirling_Solo_SoloDance_Children[[#This Row],[Category]],Twirling_Solo_SoloDance_Children[FINAL SCORE],"&gt;"&amp;Twirling_Solo_SoloDance_Children[[#This Row],[FINAL SCORE]])+1</f>
        <v>5</v>
      </c>
      <c r="AJ6" s="18" t="s">
        <v>33</v>
      </c>
    </row>
    <row r="7" spans="1:55" ht="15.6" x14ac:dyDescent="0.3">
      <c r="A7" s="18">
        <v>52</v>
      </c>
      <c r="B7" s="19">
        <v>1</v>
      </c>
      <c r="C7" s="19" t="s">
        <v>82</v>
      </c>
      <c r="D7" s="19" t="s">
        <v>30</v>
      </c>
      <c r="E7" s="19" t="s">
        <v>124</v>
      </c>
      <c r="F7" s="31" t="s">
        <v>143</v>
      </c>
      <c r="G7" s="19" t="s">
        <v>63</v>
      </c>
      <c r="H7" s="20" t="s">
        <v>25</v>
      </c>
      <c r="I7" s="21">
        <v>9.1</v>
      </c>
      <c r="J7" s="22">
        <v>0.5</v>
      </c>
      <c r="K7" s="23">
        <f>Twirling_Solo_SoloDance_Children[[#This Row],[Judge 1
Tamara Beljak]]-J7</f>
        <v>8.6</v>
      </c>
      <c r="L7" s="24">
        <f>COUNTIFS(Twirling_Solo_SoloDance_Children[Age
Division],Twirling_Solo_SoloDance_Children[[#This Row],[Age
Division]],Twirling_Solo_SoloDance_Children[Category],Twirling_Solo_SoloDance_Children[[#This Row],[Category]],Twirling_Solo_SoloDance_Children[J1 TOTAL],"&gt;"&amp;Twirling_Solo_SoloDance_Children[[#This Row],[J1 TOTAL]])+1</f>
        <v>6</v>
      </c>
      <c r="M7" s="21">
        <v>6.5</v>
      </c>
      <c r="N7" s="22">
        <v>0.5</v>
      </c>
      <c r="O7" s="23">
        <f>Twirling_Solo_SoloDance_Children[[#This Row],[Judge 2
Tihomir Bendelja]]-Twirling_Solo_SoloDance_Children[[#This Row],[J2 (-)]]</f>
        <v>6</v>
      </c>
      <c r="P7" s="24">
        <f>COUNTIFS(Twirling_Solo_SoloDance_Children[Age
Division],Twirling_Solo_SoloDance_Children[[#This Row],[Age
Division]],Twirling_Solo_SoloDance_Children[Category],Twirling_Solo_SoloDance_Children[[#This Row],[Category]],Twirling_Solo_SoloDance_Children[J2 TOTAL],"&gt;"&amp;Twirling_Solo_SoloDance_Children[[#This Row],[J2 TOTAL]])+1</f>
        <v>6</v>
      </c>
      <c r="Q7" s="21">
        <v>6.7</v>
      </c>
      <c r="R7" s="22">
        <v>0.5</v>
      </c>
      <c r="S7" s="23">
        <f>Twirling_Solo_SoloDance_Children[[#This Row],[Judge 3
Tea Softić]]-R7</f>
        <v>6.2</v>
      </c>
      <c r="T7" s="24">
        <f>COUNTIFS(Twirling_Solo_SoloDance_Children[Age
Division],Twirling_Solo_SoloDance_Children[[#This Row],[Age
Division]],Twirling_Solo_SoloDance_Children[Category],Twirling_Solo_SoloDance_Children[[#This Row],[Category]],Twirling_Solo_SoloDance_Children[J3 TOTAL],"&gt;"&amp;Twirling_Solo_SoloDance_Children[[#This Row],[J3 TOTAL]])+1</f>
        <v>6</v>
      </c>
      <c r="U7" s="21"/>
      <c r="V7" s="22"/>
      <c r="W7" s="23">
        <f>Twirling_Solo_SoloDance_Children[[#This Row],[Judge 4
Bernard Barač]]-V7</f>
        <v>0</v>
      </c>
      <c r="X7" s="24">
        <f>COUNTIFS(Twirling_Solo_SoloDance_Children[Age
Division],Twirling_Solo_SoloDance_Children[[#This Row],[Age
Division]],Twirling_Solo_SoloDance_Children[Category],Twirling_Solo_SoloDance_Children[[#This Row],[Category]],Twirling_Solo_SoloDance_Children[J4 TOTAL],"&gt;"&amp;Twirling_Solo_SoloDance_Children[[#This Row],[J4 TOTAL]])+1</f>
        <v>1</v>
      </c>
      <c r="Y7" s="21"/>
      <c r="Z7" s="22"/>
      <c r="AA7" s="23">
        <f>Twirling_Solo_SoloDance_Children[[#This Row],[Judge 5
Barbara Novina]]-Y7</f>
        <v>0</v>
      </c>
      <c r="AB7" s="24">
        <f>COUNTIFS(Twirling_Solo_SoloDance_Children[Age
Division],Twirling_Solo_SoloDance_Children[[#This Row],[Age
Division]],Twirling_Solo_SoloDance_Children[Category],Twirling_Solo_SoloDance_Children[[#This Row],[Category]],Twirling_Solo_SoloDance_Children[J5 TOTAL],"&gt;"&amp;Twirling_Solo_SoloDance_Children[[#This Row],[J5 TOTAL]])+1</f>
        <v>1</v>
      </c>
      <c r="AC7" s="25">
        <f>SUM(Twirling_Solo_SoloDance_Children[[#This Row],[J1 TOTAL]]+Twirling_Solo_SoloDance_Children[[#This Row],[J2 TOTAL]]+Twirling_Solo_SoloDance_Children[[#This Row],[J3 TOTAL]]+Twirling_Solo_SoloDance_Children[[#This Row],[J4 TOTAL]])+Twirling_Solo_SoloDance_Children[[#This Row],[J5 TOTAL]]</f>
        <v>20.8</v>
      </c>
      <c r="AD7" s="25"/>
      <c r="AE7" s="25"/>
      <c r="AF7" s="25">
        <f>SUM(Twirling_Solo_SoloDance_Children[[#This Row],[Total]]-Twirling_Solo_SoloDance_Children[[#This Row],[Low]]-Twirling_Solo_SoloDance_Children[[#This Row],[High]])</f>
        <v>20.8</v>
      </c>
      <c r="AG7" s="25">
        <f t="shared" si="0"/>
        <v>7.4333333333333336</v>
      </c>
      <c r="AH7" s="26">
        <f>Twirling_Solo_SoloDance_Children[[#This Row],[Final Total]]</f>
        <v>20.8</v>
      </c>
      <c r="AI7" s="28">
        <f>COUNTIFS(Twirling_Solo_SoloDance_Children[Age
Division],Twirling_Solo_SoloDance_Children[[#This Row],[Age
Division]],Twirling_Solo_SoloDance_Children[Category],Twirling_Solo_SoloDance_Children[[#This Row],[Category]],Twirling_Solo_SoloDance_Children[FINAL SCORE],"&gt;"&amp;Twirling_Solo_SoloDance_Children[[#This Row],[FINAL SCORE]])+1</f>
        <v>6</v>
      </c>
      <c r="AJ7" s="18" t="s">
        <v>33</v>
      </c>
    </row>
    <row r="8" spans="1:55" ht="15.6" x14ac:dyDescent="0.3">
      <c r="A8" s="18">
        <v>58</v>
      </c>
      <c r="B8" s="19">
        <v>1</v>
      </c>
      <c r="C8" s="19" t="s">
        <v>82</v>
      </c>
      <c r="D8" s="19" t="s">
        <v>30</v>
      </c>
      <c r="E8" s="19" t="s">
        <v>124</v>
      </c>
      <c r="F8" s="31" t="s">
        <v>145</v>
      </c>
      <c r="G8" s="19" t="s">
        <v>49</v>
      </c>
      <c r="H8" s="20" t="s">
        <v>25</v>
      </c>
      <c r="I8" s="21">
        <v>6.9</v>
      </c>
      <c r="J8" s="22">
        <v>0.5</v>
      </c>
      <c r="K8" s="23">
        <f>Twirling_Solo_SoloDance_Children[[#This Row],[Judge 1
Tamara Beljak]]-J8</f>
        <v>6.4</v>
      </c>
      <c r="L8" s="24">
        <f>COUNTIFS(Twirling_Solo_SoloDance_Children[Age
Division],Twirling_Solo_SoloDance_Children[[#This Row],[Age
Division]],Twirling_Solo_SoloDance_Children[Category],Twirling_Solo_SoloDance_Children[[#This Row],[Category]],Twirling_Solo_SoloDance_Children[J1 TOTAL],"&gt;"&amp;Twirling_Solo_SoloDance_Children[[#This Row],[J1 TOTAL]])+1</f>
        <v>7</v>
      </c>
      <c r="M8" s="21">
        <v>6</v>
      </c>
      <c r="N8" s="22">
        <v>0.5</v>
      </c>
      <c r="O8" s="23">
        <f>Twirling_Solo_SoloDance_Children[[#This Row],[Judge 2
Tihomir Bendelja]]-Twirling_Solo_SoloDance_Children[[#This Row],[J2 (-)]]</f>
        <v>5.5</v>
      </c>
      <c r="P8" s="24">
        <f>COUNTIFS(Twirling_Solo_SoloDance_Children[Age
Division],Twirling_Solo_SoloDance_Children[[#This Row],[Age
Division]],Twirling_Solo_SoloDance_Children[Category],Twirling_Solo_SoloDance_Children[[#This Row],[Category]],Twirling_Solo_SoloDance_Children[J2 TOTAL],"&gt;"&amp;Twirling_Solo_SoloDance_Children[[#This Row],[J2 TOTAL]])+1</f>
        <v>7</v>
      </c>
      <c r="Q8" s="21">
        <v>6.4</v>
      </c>
      <c r="R8" s="22">
        <v>0.5</v>
      </c>
      <c r="S8" s="23">
        <f>Twirling_Solo_SoloDance_Children[[#This Row],[Judge 3
Tea Softić]]-R8</f>
        <v>5.9</v>
      </c>
      <c r="T8" s="24">
        <f>COUNTIFS(Twirling_Solo_SoloDance_Children[Age
Division],Twirling_Solo_SoloDance_Children[[#This Row],[Age
Division]],Twirling_Solo_SoloDance_Children[Category],Twirling_Solo_SoloDance_Children[[#This Row],[Category]],Twirling_Solo_SoloDance_Children[J3 TOTAL],"&gt;"&amp;Twirling_Solo_SoloDance_Children[[#This Row],[J3 TOTAL]])+1</f>
        <v>7</v>
      </c>
      <c r="U8" s="21"/>
      <c r="V8" s="22"/>
      <c r="W8" s="23">
        <f>Twirling_Solo_SoloDance_Children[[#This Row],[Judge 4
Bernard Barač]]-V8</f>
        <v>0</v>
      </c>
      <c r="X8" s="24">
        <f>COUNTIFS(Twirling_Solo_SoloDance_Children[Age
Division],Twirling_Solo_SoloDance_Children[[#This Row],[Age
Division]],Twirling_Solo_SoloDance_Children[Category],Twirling_Solo_SoloDance_Children[[#This Row],[Category]],Twirling_Solo_SoloDance_Children[J4 TOTAL],"&gt;"&amp;Twirling_Solo_SoloDance_Children[[#This Row],[J4 TOTAL]])+1</f>
        <v>1</v>
      </c>
      <c r="Y8" s="21"/>
      <c r="Z8" s="22"/>
      <c r="AA8" s="23">
        <f>Twirling_Solo_SoloDance_Children[[#This Row],[Judge 5
Barbara Novina]]-Y8</f>
        <v>0</v>
      </c>
      <c r="AB8" s="24">
        <f>COUNTIFS(Twirling_Solo_SoloDance_Children[Age
Division],Twirling_Solo_SoloDance_Children[[#This Row],[Age
Division]],Twirling_Solo_SoloDance_Children[Category],Twirling_Solo_SoloDance_Children[[#This Row],[Category]],Twirling_Solo_SoloDance_Children[J5 TOTAL],"&gt;"&amp;Twirling_Solo_SoloDance_Children[[#This Row],[J5 TOTAL]])+1</f>
        <v>1</v>
      </c>
      <c r="AC8" s="25">
        <f>SUM(Twirling_Solo_SoloDance_Children[[#This Row],[J1 TOTAL]]+Twirling_Solo_SoloDance_Children[[#This Row],[J2 TOTAL]]+Twirling_Solo_SoloDance_Children[[#This Row],[J3 TOTAL]]+Twirling_Solo_SoloDance_Children[[#This Row],[J4 TOTAL]])+Twirling_Solo_SoloDance_Children[[#This Row],[J5 TOTAL]]</f>
        <v>17.8</v>
      </c>
      <c r="AD8" s="25"/>
      <c r="AE8" s="25"/>
      <c r="AF8" s="25">
        <f>SUM(Twirling_Solo_SoloDance_Children[[#This Row],[Total]]-Twirling_Solo_SoloDance_Children[[#This Row],[Low]]-Twirling_Solo_SoloDance_Children[[#This Row],[High]])</f>
        <v>17.8</v>
      </c>
      <c r="AG8" s="25">
        <f t="shared" si="0"/>
        <v>6.4333333333333336</v>
      </c>
      <c r="AH8" s="26">
        <f>Twirling_Solo_SoloDance_Children[[#This Row],[Final Total]]</f>
        <v>17.8</v>
      </c>
      <c r="AI8" s="28">
        <f>COUNTIFS(Twirling_Solo_SoloDance_Children[Age
Division],Twirling_Solo_SoloDance_Children[[#This Row],[Age
Division]],Twirling_Solo_SoloDance_Children[Category],Twirling_Solo_SoloDance_Children[[#This Row],[Category]],Twirling_Solo_SoloDance_Children[FINAL SCORE],"&gt;"&amp;Twirling_Solo_SoloDance_Children[[#This Row],[FINAL SCORE]])+1</f>
        <v>7</v>
      </c>
      <c r="AJ8" s="18" t="s">
        <v>33</v>
      </c>
    </row>
  </sheetData>
  <sheetProtection algorithmName="SHA-512" hashValue="tBqtQmxOf0AtOdliOvmz3kK99lm29ISDV3/yVfdfl8lJTS0moppE4IETZ231pP5Hfi2kuFfLHA6v6H7FBYeySg==" saltValue="i9XsbhTjZ0qeRQUNP3TA2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BF90F-3B02-443F-AF63-F61371826715}">
  <sheetPr codeName="Sheet22"/>
  <dimension ref="A1:BC7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9.6640625" style="30" bestFit="1" customWidth="1"/>
    <col min="5" max="5" width="8.44140625" style="29" bestFit="1" customWidth="1"/>
    <col min="6" max="6" width="12.77734375" style="20" bestFit="1" customWidth="1"/>
    <col min="7" max="7" width="43.33203125" style="20" bestFit="1" customWidth="1"/>
    <col min="8" max="8" width="9.6640625" style="20" bestFit="1" customWidth="1"/>
    <col min="9" max="20" width="9.109375" style="20" customWidth="1"/>
    <col min="21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55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74</v>
      </c>
      <c r="B2" s="19">
        <v>1</v>
      </c>
      <c r="C2" s="19" t="s">
        <v>82</v>
      </c>
      <c r="D2" s="19" t="s">
        <v>29</v>
      </c>
      <c r="E2" s="19" t="s">
        <v>56</v>
      </c>
      <c r="F2" s="31" t="s">
        <v>136</v>
      </c>
      <c r="G2" s="19" t="s">
        <v>49</v>
      </c>
      <c r="H2" s="20" t="s">
        <v>25</v>
      </c>
      <c r="I2" s="21">
        <v>36.200000000000003</v>
      </c>
      <c r="J2" s="22">
        <v>1</v>
      </c>
      <c r="K2" s="23">
        <f>Twirling_Solo_SoloDance_Senior_Advanced[[#This Row],[Judge 1
Tamara Beljak]]-J2</f>
        <v>35.200000000000003</v>
      </c>
      <c r="L2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Row],[Category]],Twirling_Solo_SoloDance_Senior_Advanced[J1 TOTAL],"&gt;"&amp;Twirling_Solo_SoloDance_Senior_Advanced[[#This Row],[J1 TOTAL]])+1</f>
        <v>1</v>
      </c>
      <c r="M2" s="21">
        <v>36.299999999999997</v>
      </c>
      <c r="N2" s="22">
        <v>1</v>
      </c>
      <c r="O2" s="23">
        <f>Twirling_Solo_SoloDance_Senior_Advanced[[#This Row],[Judge 2
Tihomir Bendelja]]-Twirling_Solo_SoloDance_Senior_Advanced[[#This Row],[J2 (-)]]</f>
        <v>35.299999999999997</v>
      </c>
      <c r="P2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Row],[Category]],Twirling_Solo_SoloDance_Senior_Advanced[J2 TOTAL],"&gt;"&amp;Twirling_Solo_SoloDance_Senior_Advanced[[#This Row],[J2 TOTAL]])+1</f>
        <v>1</v>
      </c>
      <c r="Q2" s="21">
        <v>36.5</v>
      </c>
      <c r="R2" s="22">
        <v>1</v>
      </c>
      <c r="S2" s="23">
        <f>Twirling_Solo_SoloDance_Senior_Advanced[[#This Row],[Judge 3
Tea Softić]]-R2</f>
        <v>35.5</v>
      </c>
      <c r="T2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Row],[Category]],Twirling_Solo_SoloDance_Senior_Advanced[J3 TOTAL],"&gt;"&amp;Twirling_Solo_SoloDance_Senior_Advanced[[#This Row],[J3 TOTAL]])+1</f>
        <v>1</v>
      </c>
      <c r="U2" s="21"/>
      <c r="V2" s="22"/>
      <c r="W2" s="23">
        <f>Twirling_Solo_SoloDance_Senior_Advanced[[#This Row],[Judge 4
Bernard Barač]]-V2</f>
        <v>0</v>
      </c>
      <c r="X2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Row],[Category]],Twirling_Solo_SoloDance_Senior_Advanced[J4 TOTAL],"&gt;"&amp;Twirling_Solo_SoloDance_Senior_Advanced[[#This Row],[J4 TOTAL]])+1</f>
        <v>1</v>
      </c>
      <c r="Y2" s="21"/>
      <c r="Z2" s="22"/>
      <c r="AA2" s="23">
        <f>Twirling_Solo_SoloDance_Senior_Advanced[[#This Row],[Judge 5
Barbara Novina]]-Y2</f>
        <v>0</v>
      </c>
      <c r="AB2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Row],[Category]],Twirling_Solo_SoloDance_Senior_Advanced[J5 TOTAL],"&gt;"&amp;Twirling_Solo_SoloDance_Senior_Advanced[[#This Row],[J5 TOTAL]])+1</f>
        <v>1</v>
      </c>
      <c r="AC2" s="25">
        <f>SUM(Twirling_Solo_SoloDance_Senior_Advanced[[#This Row],[J1 TOTAL]]+Twirling_Solo_SoloDance_Senior_Advanced[[#This Row],[J2 TOTAL]]+Twirling_Solo_SoloDance_Senior_Advanced[[#This Row],[J3 TOTAL]]+Twirling_Solo_SoloDance_Senior_Advanced[[#This Row],[J4 TOTAL]])+Twirling_Solo_SoloDance_Senior_Advanced[[#This Row],[J5 TOTAL]]</f>
        <v>106</v>
      </c>
      <c r="AD2" s="25"/>
      <c r="AE2" s="25"/>
      <c r="AF2" s="25">
        <f>SUM(Twirling_Solo_SoloDance_Senior_Advanced[[#This Row],[Total]]-Twirling_Solo_SoloDance_Senior_Advanced[[#This Row],[Low]]-Twirling_Solo_SoloDance_Senior_Advanced[[#This Row],[High]])</f>
        <v>106</v>
      </c>
      <c r="AG2" s="25">
        <f t="shared" ref="AG2:AG7" si="0">AVERAGE(I2,M2,Q2,U2,Y2)</f>
        <v>36.333333333333336</v>
      </c>
      <c r="AH2" s="26">
        <f>Twirling_Solo_SoloDance_Senior_Advanced[[#This Row],[Final Total]]</f>
        <v>106</v>
      </c>
      <c r="AI2" s="27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Row],[Category]],Twirling_Solo_SoloDance_Senior_Advanced[FINAL SCORE],"&gt;"&amp;Twirling_Solo_SoloDance_Senior_Advanced[[#This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80</v>
      </c>
      <c r="B3" s="19">
        <v>1</v>
      </c>
      <c r="C3" s="19" t="s">
        <v>82</v>
      </c>
      <c r="D3" s="19" t="s">
        <v>29</v>
      </c>
      <c r="E3" s="19" t="s">
        <v>56</v>
      </c>
      <c r="F3" s="31" t="s">
        <v>114</v>
      </c>
      <c r="G3" s="19" t="s">
        <v>67</v>
      </c>
      <c r="H3" s="20" t="s">
        <v>25</v>
      </c>
      <c r="I3" s="21">
        <v>35.299999999999997</v>
      </c>
      <c r="J3" s="22">
        <v>1.5</v>
      </c>
      <c r="K3" s="23">
        <f>Twirling_Solo_SoloDance_Senior_Advanced[[#This Row],[Judge 1
Tamara Beljak]]-J3</f>
        <v>33.799999999999997</v>
      </c>
      <c r="L3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Row],[Category]],Twirling_Solo_SoloDance_Senior_Advanced[J1 TOTAL],"&gt;"&amp;Twirling_Solo_SoloDance_Senior_Advanced[[#This Row],[J1 TOTAL]])+1</f>
        <v>2</v>
      </c>
      <c r="M3" s="21">
        <v>33.4</v>
      </c>
      <c r="N3" s="22">
        <v>1.5</v>
      </c>
      <c r="O3" s="23">
        <f>Twirling_Solo_SoloDance_Senior_Advanced[[#This Row],[Judge 2
Tihomir Bendelja]]-Twirling_Solo_SoloDance_Senior_Advanced[[#This Row],[J2 (-)]]</f>
        <v>31.9</v>
      </c>
      <c r="P3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Row],[Category]],Twirling_Solo_SoloDance_Senior_Advanced[J2 TOTAL],"&gt;"&amp;Twirling_Solo_SoloDance_Senior_Advanced[[#This Row],[J2 TOTAL]])+1</f>
        <v>2</v>
      </c>
      <c r="Q3" s="21">
        <v>36.4</v>
      </c>
      <c r="R3" s="22">
        <v>1.5</v>
      </c>
      <c r="S3" s="23">
        <f>Twirling_Solo_SoloDance_Senior_Advanced[[#This Row],[Judge 3
Tea Softić]]-R3</f>
        <v>34.9</v>
      </c>
      <c r="T3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Row],[Category]],Twirling_Solo_SoloDance_Senior_Advanced[J3 TOTAL],"&gt;"&amp;Twirling_Solo_SoloDance_Senior_Advanced[[#This Row],[J3 TOTAL]])+1</f>
        <v>2</v>
      </c>
      <c r="U3" s="21"/>
      <c r="V3" s="22"/>
      <c r="W3" s="23">
        <f>Twirling_Solo_SoloDance_Senior_Advanced[[#This Row],[Judge 4
Bernard Barač]]-V3</f>
        <v>0</v>
      </c>
      <c r="X3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Row],[Category]],Twirling_Solo_SoloDance_Senior_Advanced[J4 TOTAL],"&gt;"&amp;Twirling_Solo_SoloDance_Senior_Advanced[[#This Row],[J4 TOTAL]])+1</f>
        <v>1</v>
      </c>
      <c r="Y3" s="21"/>
      <c r="Z3" s="22"/>
      <c r="AA3" s="23">
        <f>Twirling_Solo_SoloDance_Senior_Advanced[[#This Row],[Judge 5
Barbara Novina]]-Y3</f>
        <v>0</v>
      </c>
      <c r="AB3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Row],[Category]],Twirling_Solo_SoloDance_Senior_Advanced[J5 TOTAL],"&gt;"&amp;Twirling_Solo_SoloDance_Senior_Advanced[[#This Row],[J5 TOTAL]])+1</f>
        <v>1</v>
      </c>
      <c r="AC3" s="25">
        <f>SUM(Twirling_Solo_SoloDance_Senior_Advanced[[#This Row],[J1 TOTAL]]+Twirling_Solo_SoloDance_Senior_Advanced[[#This Row],[J2 TOTAL]]+Twirling_Solo_SoloDance_Senior_Advanced[[#This Row],[J3 TOTAL]]+Twirling_Solo_SoloDance_Senior_Advanced[[#This Row],[J4 TOTAL]])+Twirling_Solo_SoloDance_Senior_Advanced[[#This Row],[J5 TOTAL]]</f>
        <v>100.6</v>
      </c>
      <c r="AD3" s="25"/>
      <c r="AE3" s="25"/>
      <c r="AF3" s="25">
        <f>SUM(Twirling_Solo_SoloDance_Senior_Advanced[[#This Row],[Total]]-Twirling_Solo_SoloDance_Senior_Advanced[[#This Row],[Low]]-Twirling_Solo_SoloDance_Senior_Advanced[[#This Row],[High]])</f>
        <v>100.6</v>
      </c>
      <c r="AG3" s="25">
        <f t="shared" si="0"/>
        <v>35.033333333333331</v>
      </c>
      <c r="AH3" s="26">
        <f>Twirling_Solo_SoloDance_Senior_Advanced[[#This Row],[Final Total]]</f>
        <v>100.6</v>
      </c>
      <c r="AI3" s="28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Row],[Category]],Twirling_Solo_SoloDance_Senior_Advanced[FINAL SCORE],"&gt;"&amp;Twirling_Solo_SoloDance_Senior_Advanced[[#This Row],[FINAL SCORE]])+1</f>
        <v>2</v>
      </c>
      <c r="AJ3" s="18" t="s">
        <v>33</v>
      </c>
    </row>
    <row r="4" spans="1:55" ht="15.6" x14ac:dyDescent="0.3">
      <c r="A4" s="18">
        <v>84</v>
      </c>
      <c r="B4" s="19">
        <v>1</v>
      </c>
      <c r="C4" s="19" t="s">
        <v>82</v>
      </c>
      <c r="D4" s="19" t="s">
        <v>29</v>
      </c>
      <c r="E4" s="19" t="s">
        <v>56</v>
      </c>
      <c r="F4" s="31" t="s">
        <v>140</v>
      </c>
      <c r="G4" s="19" t="s">
        <v>86</v>
      </c>
      <c r="H4" s="20" t="s">
        <v>25</v>
      </c>
      <c r="I4" s="21">
        <v>34.4</v>
      </c>
      <c r="J4" s="22">
        <v>1.5</v>
      </c>
      <c r="K4" s="23">
        <f>Twirling_Solo_SoloDance_Senior_Advanced[[#This Row],[Judge 1
Tamara Beljak]]-J4</f>
        <v>32.9</v>
      </c>
      <c r="L4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Row],[Category]],Twirling_Solo_SoloDance_Senior_Advanced[J1 TOTAL],"&gt;"&amp;Twirling_Solo_SoloDance_Senior_Advanced[[#This Row],[J1 TOTAL]])+1</f>
        <v>3</v>
      </c>
      <c r="M4" s="21">
        <v>32</v>
      </c>
      <c r="N4" s="22">
        <v>1.5</v>
      </c>
      <c r="O4" s="23">
        <f>Twirling_Solo_SoloDance_Senior_Advanced[[#This Row],[Judge 2
Tihomir Bendelja]]-Twirling_Solo_SoloDance_Senior_Advanced[[#This Row],[J2 (-)]]</f>
        <v>30.5</v>
      </c>
      <c r="P4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Row],[Category]],Twirling_Solo_SoloDance_Senior_Advanced[J2 TOTAL],"&gt;"&amp;Twirling_Solo_SoloDance_Senior_Advanced[[#This Row],[J2 TOTAL]])+1</f>
        <v>3</v>
      </c>
      <c r="Q4" s="21">
        <v>35.4</v>
      </c>
      <c r="R4" s="22">
        <v>1.5</v>
      </c>
      <c r="S4" s="23">
        <f>Twirling_Solo_SoloDance_Senior_Advanced[[#This Row],[Judge 3
Tea Softić]]-R4</f>
        <v>33.9</v>
      </c>
      <c r="T4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Row],[Category]],Twirling_Solo_SoloDance_Senior_Advanced[J3 TOTAL],"&gt;"&amp;Twirling_Solo_SoloDance_Senior_Advanced[[#This Row],[J3 TOTAL]])+1</f>
        <v>3</v>
      </c>
      <c r="U4" s="21"/>
      <c r="V4" s="22"/>
      <c r="W4" s="23">
        <f>Twirling_Solo_SoloDance_Senior_Advanced[[#This Row],[Judge 4
Bernard Barač]]-V4</f>
        <v>0</v>
      </c>
      <c r="X4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Row],[Category]],Twirling_Solo_SoloDance_Senior_Advanced[J4 TOTAL],"&gt;"&amp;Twirling_Solo_SoloDance_Senior_Advanced[[#This Row],[J4 TOTAL]])+1</f>
        <v>1</v>
      </c>
      <c r="Y4" s="21"/>
      <c r="Z4" s="22"/>
      <c r="AA4" s="23">
        <f>Twirling_Solo_SoloDance_Senior_Advanced[[#This Row],[Judge 5
Barbara Novina]]-Y4</f>
        <v>0</v>
      </c>
      <c r="AB4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Row],[Category]],Twirling_Solo_SoloDance_Senior_Advanced[J5 TOTAL],"&gt;"&amp;Twirling_Solo_SoloDance_Senior_Advanced[[#This Row],[J5 TOTAL]])+1</f>
        <v>1</v>
      </c>
      <c r="AC4" s="25">
        <f>SUM(Twirling_Solo_SoloDance_Senior_Advanced[[#This Row],[J1 TOTAL]]+Twirling_Solo_SoloDance_Senior_Advanced[[#This Row],[J2 TOTAL]]+Twirling_Solo_SoloDance_Senior_Advanced[[#This Row],[J3 TOTAL]]+Twirling_Solo_SoloDance_Senior_Advanced[[#This Row],[J4 TOTAL]])+Twirling_Solo_SoloDance_Senior_Advanced[[#This Row],[J5 TOTAL]]</f>
        <v>97.3</v>
      </c>
      <c r="AD4" s="25"/>
      <c r="AE4" s="25"/>
      <c r="AF4" s="25">
        <f>SUM(Twirling_Solo_SoloDance_Senior_Advanced[[#This Row],[Total]]-Twirling_Solo_SoloDance_Senior_Advanced[[#This Row],[Low]]-Twirling_Solo_SoloDance_Senior_Advanced[[#This Row],[High]])</f>
        <v>97.3</v>
      </c>
      <c r="AG4" s="25">
        <f t="shared" si="0"/>
        <v>33.933333333333337</v>
      </c>
      <c r="AH4" s="26">
        <f>Twirling_Solo_SoloDance_Senior_Advanced[[#This Row],[Final Total]]</f>
        <v>97.3</v>
      </c>
      <c r="AI4" s="28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Row],[Category]],Twirling_Solo_SoloDance_Senior_Advanced[FINAL SCORE],"&gt;"&amp;Twirling_Solo_SoloDance_Senior_Advanced[[#This Row],[FINAL SCORE]])+1</f>
        <v>3</v>
      </c>
      <c r="AJ4" s="18" t="s">
        <v>33</v>
      </c>
    </row>
    <row r="5" spans="1:55" ht="15.6" x14ac:dyDescent="0.3">
      <c r="A5" s="18">
        <v>76</v>
      </c>
      <c r="B5" s="19">
        <v>1</v>
      </c>
      <c r="C5" s="19" t="s">
        <v>82</v>
      </c>
      <c r="D5" s="19" t="s">
        <v>29</v>
      </c>
      <c r="E5" s="19" t="s">
        <v>56</v>
      </c>
      <c r="F5" s="31" t="s">
        <v>111</v>
      </c>
      <c r="G5" s="19" t="s">
        <v>32</v>
      </c>
      <c r="H5" s="20" t="s">
        <v>25</v>
      </c>
      <c r="I5" s="21">
        <v>33.299999999999997</v>
      </c>
      <c r="J5" s="22">
        <v>2.5</v>
      </c>
      <c r="K5" s="23">
        <f>Twirling_Solo_SoloDance_Senior_Advanced[[#This Row],[Judge 1
Tamara Beljak]]-J5</f>
        <v>30.799999999999997</v>
      </c>
      <c r="L5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Row],[Category]],Twirling_Solo_SoloDance_Senior_Advanced[J1 TOTAL],"&gt;"&amp;Twirling_Solo_SoloDance_Senior_Advanced[[#This Row],[J1 TOTAL]])+1</f>
        <v>4</v>
      </c>
      <c r="M5" s="21">
        <v>32.5</v>
      </c>
      <c r="N5" s="22">
        <v>2.5</v>
      </c>
      <c r="O5" s="23">
        <f>Twirling_Solo_SoloDance_Senior_Advanced[[#This Row],[Judge 2
Tihomir Bendelja]]-Twirling_Solo_SoloDance_Senior_Advanced[[#This Row],[J2 (-)]]</f>
        <v>30</v>
      </c>
      <c r="P5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Row],[Category]],Twirling_Solo_SoloDance_Senior_Advanced[J2 TOTAL],"&gt;"&amp;Twirling_Solo_SoloDance_Senior_Advanced[[#This Row],[J2 TOTAL]])+1</f>
        <v>4</v>
      </c>
      <c r="Q5" s="21">
        <v>35</v>
      </c>
      <c r="R5" s="22">
        <v>2.5</v>
      </c>
      <c r="S5" s="23">
        <f>Twirling_Solo_SoloDance_Senior_Advanced[[#This Row],[Judge 3
Tea Softić]]-R5</f>
        <v>32.5</v>
      </c>
      <c r="T5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Row],[Category]],Twirling_Solo_SoloDance_Senior_Advanced[J3 TOTAL],"&gt;"&amp;Twirling_Solo_SoloDance_Senior_Advanced[[#This Row],[J3 TOTAL]])+1</f>
        <v>4</v>
      </c>
      <c r="U5" s="21"/>
      <c r="V5" s="22"/>
      <c r="W5" s="23">
        <f>Twirling_Solo_SoloDance_Senior_Advanced[[#This Row],[Judge 4
Bernard Barač]]-V5</f>
        <v>0</v>
      </c>
      <c r="X5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Row],[Category]],Twirling_Solo_SoloDance_Senior_Advanced[J4 TOTAL],"&gt;"&amp;Twirling_Solo_SoloDance_Senior_Advanced[[#This Row],[J4 TOTAL]])+1</f>
        <v>1</v>
      </c>
      <c r="Y5" s="21"/>
      <c r="Z5" s="22"/>
      <c r="AA5" s="23">
        <f>Twirling_Solo_SoloDance_Senior_Advanced[[#This Row],[Judge 5
Barbara Novina]]-Y5</f>
        <v>0</v>
      </c>
      <c r="AB5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Row],[Category]],Twirling_Solo_SoloDance_Senior_Advanced[J5 TOTAL],"&gt;"&amp;Twirling_Solo_SoloDance_Senior_Advanced[[#This Row],[J5 TOTAL]])+1</f>
        <v>1</v>
      </c>
      <c r="AC5" s="25">
        <f>SUM(Twirling_Solo_SoloDance_Senior_Advanced[[#This Row],[J1 TOTAL]]+Twirling_Solo_SoloDance_Senior_Advanced[[#This Row],[J2 TOTAL]]+Twirling_Solo_SoloDance_Senior_Advanced[[#This Row],[J3 TOTAL]]+Twirling_Solo_SoloDance_Senior_Advanced[[#This Row],[J4 TOTAL]])+Twirling_Solo_SoloDance_Senior_Advanced[[#This Row],[J5 TOTAL]]</f>
        <v>93.3</v>
      </c>
      <c r="AD5" s="25"/>
      <c r="AE5" s="25"/>
      <c r="AF5" s="25">
        <f>SUM(Twirling_Solo_SoloDance_Senior_Advanced[[#This Row],[Total]]-Twirling_Solo_SoloDance_Senior_Advanced[[#This Row],[Low]]-Twirling_Solo_SoloDance_Senior_Advanced[[#This Row],[High]])</f>
        <v>93.3</v>
      </c>
      <c r="AG5" s="25">
        <f t="shared" si="0"/>
        <v>33.6</v>
      </c>
      <c r="AH5" s="26">
        <f>Twirling_Solo_SoloDance_Senior_Advanced[[#This Row],[Final Total]]</f>
        <v>93.3</v>
      </c>
      <c r="AI5" s="28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Row],[Category]],Twirling_Solo_SoloDance_Senior_Advanced[FINAL SCORE],"&gt;"&amp;Twirling_Solo_SoloDance_Senior_Advanced[[#This Row],[FINAL SCORE]])+1</f>
        <v>4</v>
      </c>
      <c r="AJ5" s="18" t="s">
        <v>33</v>
      </c>
    </row>
    <row r="6" spans="1:55" ht="15.6" x14ac:dyDescent="0.3">
      <c r="A6" s="18">
        <v>82</v>
      </c>
      <c r="B6" s="19">
        <v>1</v>
      </c>
      <c r="C6" s="19" t="s">
        <v>82</v>
      </c>
      <c r="D6" s="19" t="s">
        <v>29</v>
      </c>
      <c r="E6" s="19" t="s">
        <v>56</v>
      </c>
      <c r="F6" s="31" t="s">
        <v>112</v>
      </c>
      <c r="G6" s="19" t="s">
        <v>73</v>
      </c>
      <c r="H6" s="20" t="s">
        <v>28</v>
      </c>
      <c r="I6" s="21">
        <v>22</v>
      </c>
      <c r="J6" s="22">
        <v>1</v>
      </c>
      <c r="K6" s="23">
        <f>Twirling_Solo_SoloDance_Senior_Advanced[[#This Row],[Judge 1
Tamara Beljak]]-J6</f>
        <v>21</v>
      </c>
      <c r="L6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Row],[Category]],Twirling_Solo_SoloDance_Senior_Advanced[J1 TOTAL],"&gt;"&amp;Twirling_Solo_SoloDance_Senior_Advanced[[#This Row],[J1 TOTAL]])+1</f>
        <v>5</v>
      </c>
      <c r="M6" s="21">
        <v>21.1</v>
      </c>
      <c r="N6" s="22">
        <v>1</v>
      </c>
      <c r="O6" s="23">
        <f>Twirling_Solo_SoloDance_Senior_Advanced[[#This Row],[Judge 2
Tihomir Bendelja]]-Twirling_Solo_SoloDance_Senior_Advanced[[#This Row],[J2 (-)]]</f>
        <v>20.100000000000001</v>
      </c>
      <c r="P6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Row],[Category]],Twirling_Solo_SoloDance_Senior_Advanced[J2 TOTAL],"&gt;"&amp;Twirling_Solo_SoloDance_Senior_Advanced[[#This Row],[J2 TOTAL]])+1</f>
        <v>5</v>
      </c>
      <c r="Q6" s="21">
        <v>26</v>
      </c>
      <c r="R6" s="22">
        <v>1</v>
      </c>
      <c r="S6" s="23">
        <f>Twirling_Solo_SoloDance_Senior_Advanced[[#This Row],[Judge 3
Tea Softić]]-R6</f>
        <v>25</v>
      </c>
      <c r="T6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Row],[Category]],Twirling_Solo_SoloDance_Senior_Advanced[J3 TOTAL],"&gt;"&amp;Twirling_Solo_SoloDance_Senior_Advanced[[#This Row],[J3 TOTAL]])+1</f>
        <v>5</v>
      </c>
      <c r="U6" s="21"/>
      <c r="V6" s="22"/>
      <c r="W6" s="23">
        <f>Twirling_Solo_SoloDance_Senior_Advanced[[#This Row],[Judge 4
Bernard Barač]]-V6</f>
        <v>0</v>
      </c>
      <c r="X6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Row],[Category]],Twirling_Solo_SoloDance_Senior_Advanced[J4 TOTAL],"&gt;"&amp;Twirling_Solo_SoloDance_Senior_Advanced[[#This Row],[J4 TOTAL]])+1</f>
        <v>1</v>
      </c>
      <c r="Y6" s="21"/>
      <c r="Z6" s="22"/>
      <c r="AA6" s="23">
        <f>Twirling_Solo_SoloDance_Senior_Advanced[[#This Row],[Judge 5
Barbara Novina]]-Y6</f>
        <v>0</v>
      </c>
      <c r="AB6" s="24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Row],[Category]],Twirling_Solo_SoloDance_Senior_Advanced[J5 TOTAL],"&gt;"&amp;Twirling_Solo_SoloDance_Senior_Advanced[[#This Row],[J5 TOTAL]])+1</f>
        <v>1</v>
      </c>
      <c r="AC6" s="25">
        <f>SUM(Twirling_Solo_SoloDance_Senior_Advanced[[#This Row],[J1 TOTAL]]+Twirling_Solo_SoloDance_Senior_Advanced[[#This Row],[J2 TOTAL]]+Twirling_Solo_SoloDance_Senior_Advanced[[#This Row],[J3 TOTAL]]+Twirling_Solo_SoloDance_Senior_Advanced[[#This Row],[J4 TOTAL]])+Twirling_Solo_SoloDance_Senior_Advanced[[#This Row],[J5 TOTAL]]</f>
        <v>66.099999999999994</v>
      </c>
      <c r="AD6" s="25"/>
      <c r="AE6" s="25"/>
      <c r="AF6" s="25">
        <f>SUM(Twirling_Solo_SoloDance_Senior_Advanced[[#This Row],[Total]]-Twirling_Solo_SoloDance_Senior_Advanced[[#This Row],[Low]]-Twirling_Solo_SoloDance_Senior_Advanced[[#This Row],[High]])</f>
        <v>66.099999999999994</v>
      </c>
      <c r="AG6" s="25">
        <f t="shared" si="0"/>
        <v>23.033333333333331</v>
      </c>
      <c r="AH6" s="26">
        <f>Twirling_Solo_SoloDance_Senior_Advanced[[#This Row],[Final Total]]</f>
        <v>66.099999999999994</v>
      </c>
      <c r="AI6" s="28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Row],[Category]],Twirling_Solo_SoloDance_Senior_Advanced[FINAL SCORE],"&gt;"&amp;Twirling_Solo_SoloDance_Senior_Advanced[[#This Row],[FINAL SCORE]])+1</f>
        <v>5</v>
      </c>
      <c r="AJ6" s="18" t="s">
        <v>33</v>
      </c>
    </row>
    <row r="7" spans="1:55" ht="15.6" x14ac:dyDescent="0.3">
      <c r="A7" s="56">
        <v>78</v>
      </c>
      <c r="B7" s="57">
        <v>1</v>
      </c>
      <c r="C7" s="57" t="s">
        <v>82</v>
      </c>
      <c r="D7" s="57" t="s">
        <v>29</v>
      </c>
      <c r="E7" s="33" t="s">
        <v>56</v>
      </c>
      <c r="F7" s="58" t="s">
        <v>72</v>
      </c>
      <c r="G7" s="57" t="s">
        <v>73</v>
      </c>
      <c r="H7" s="59" t="s">
        <v>28</v>
      </c>
      <c r="I7" s="60">
        <v>21</v>
      </c>
      <c r="J7" s="61">
        <v>1.5</v>
      </c>
      <c r="K7" s="62">
        <f>Twirling_Solo_SoloDance_Senior_Advanced[[#This Row],[Judge 1
Tamara Beljak]]-J7</f>
        <v>19.5</v>
      </c>
      <c r="L7" s="63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Row],[Category]],Twirling_Solo_SoloDance_Senior_Advanced[J1 TOTAL],"&gt;"&amp;Twirling_Solo_SoloDance_Senior_Advanced[[#This Row],[J1 TOTAL]])+1</f>
        <v>6</v>
      </c>
      <c r="M7" s="60">
        <v>21.4</v>
      </c>
      <c r="N7" s="61">
        <v>1.5</v>
      </c>
      <c r="O7" s="62">
        <f>Twirling_Solo_SoloDance_Senior_Advanced[[#This Row],[Judge 2
Tihomir Bendelja]]-Twirling_Solo_SoloDance_Senior_Advanced[[#This Row],[J2 (-)]]</f>
        <v>19.899999999999999</v>
      </c>
      <c r="P7" s="63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Row],[Category]],Twirling_Solo_SoloDance_Senior_Advanced[J2 TOTAL],"&gt;"&amp;Twirling_Solo_SoloDance_Senior_Advanced[[#This Row],[J2 TOTAL]])+1</f>
        <v>6</v>
      </c>
      <c r="Q7" s="60">
        <v>20.100000000000001</v>
      </c>
      <c r="R7" s="61">
        <v>1.5</v>
      </c>
      <c r="S7" s="62">
        <f>Twirling_Solo_SoloDance_Senior_Advanced[[#This Row],[Judge 3
Tea Softić]]-R7</f>
        <v>18.600000000000001</v>
      </c>
      <c r="T7" s="63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Row],[Category]],Twirling_Solo_SoloDance_Senior_Advanced[J3 TOTAL],"&gt;"&amp;Twirling_Solo_SoloDance_Senior_Advanced[[#This Row],[J3 TOTAL]])+1</f>
        <v>6</v>
      </c>
      <c r="U7" s="60"/>
      <c r="V7" s="61"/>
      <c r="W7" s="62">
        <f>Twirling_Solo_SoloDance_Senior_Advanced[[#This Row],[Judge 4
Bernard Barač]]-V7</f>
        <v>0</v>
      </c>
      <c r="X7" s="63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Row],[Category]],Twirling_Solo_SoloDance_Senior_Advanced[J4 TOTAL],"&gt;"&amp;Twirling_Solo_SoloDance_Senior_Advanced[[#This Row],[J4 TOTAL]])+1</f>
        <v>1</v>
      </c>
      <c r="Y7" s="60"/>
      <c r="Z7" s="61"/>
      <c r="AA7" s="62">
        <f>Twirling_Solo_SoloDance_Senior_Advanced[[#This Row],[Judge 5
Barbara Novina]]-Y7</f>
        <v>0</v>
      </c>
      <c r="AB7" s="63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Row],[Category]],Twirling_Solo_SoloDance_Senior_Advanced[J5 TOTAL],"&gt;"&amp;Twirling_Solo_SoloDance_Senior_Advanced[[#This Row],[J5 TOTAL]])+1</f>
        <v>1</v>
      </c>
      <c r="AC7" s="64">
        <f>SUM(Twirling_Solo_SoloDance_Senior_Advanced[[#This Row],[J1 TOTAL]]+Twirling_Solo_SoloDance_Senior_Advanced[[#This Row],[J2 TOTAL]]+Twirling_Solo_SoloDance_Senior_Advanced[[#This Row],[J3 TOTAL]]+Twirling_Solo_SoloDance_Senior_Advanced[[#This Row],[J4 TOTAL]])+Twirling_Solo_SoloDance_Senior_Advanced[[#This Row],[J5 TOTAL]]</f>
        <v>58</v>
      </c>
      <c r="AD7" s="64"/>
      <c r="AE7" s="64"/>
      <c r="AF7" s="64">
        <f>SUM(Twirling_Solo_SoloDance_Senior_Advanced[[#This Row],[Total]]-Twirling_Solo_SoloDance_Senior_Advanced[[#This Row],[Low]]-Twirling_Solo_SoloDance_Senior_Advanced[[#This Row],[High]])</f>
        <v>58</v>
      </c>
      <c r="AG7" s="64">
        <f t="shared" si="0"/>
        <v>20.833333333333332</v>
      </c>
      <c r="AH7" s="65">
        <f>Twirling_Solo_SoloDance_Senior_Advanced[[#This Row],[Final Total]]</f>
        <v>58</v>
      </c>
      <c r="AI7" s="66">
        <f>COUNTIFS(Twirling_Solo_SoloDance_Senior_Advanced[Age
Division],Twirling_Solo_SoloDance_Senior_Advanced[[#This Row],[Age
Division]],Twirling_Solo_SoloDance_Senior_Advanced[Category],Twirling_Solo_SoloDance_Senior_Advanced[[#This Row],[Category]],Twirling_Solo_SoloDance_Senior_Advanced[FINAL SCORE],"&gt;"&amp;Twirling_Solo_SoloDance_Senior_Advanced[[#This Row],[FINAL SCORE]])+1</f>
        <v>6</v>
      </c>
      <c r="AJ7" s="56" t="s">
        <v>33</v>
      </c>
    </row>
  </sheetData>
  <sheetProtection algorithmName="SHA-512" hashValue="U/a03FjpEZDUz08wr3DvZo/+qTJvcUTL9nRSP/KigeVxC/K4t2ZATxyGOPkgSAlCqcKszmoglnGdNMLMkn0qUg==" saltValue="1OsC9wBza0cn64m25Kkon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31BBC-468E-433A-82FB-D7545ED820AE}">
  <sheetPr codeName="Sheet21"/>
  <dimension ref="A1:BC7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9.6640625" style="30" bestFit="1" customWidth="1"/>
    <col min="5" max="5" width="10.5546875" style="30" bestFit="1" customWidth="1"/>
    <col min="6" max="6" width="13" style="20" bestFit="1" customWidth="1"/>
    <col min="7" max="7" width="40" style="20" bestFit="1" customWidth="1"/>
    <col min="8" max="8" width="9.6640625" style="20" bestFit="1" customWidth="1"/>
    <col min="9" max="20" width="9.109375" style="20" customWidth="1"/>
    <col min="21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68</v>
      </c>
      <c r="B2" s="19">
        <v>1</v>
      </c>
      <c r="C2" s="19" t="s">
        <v>82</v>
      </c>
      <c r="D2" s="19" t="s">
        <v>29</v>
      </c>
      <c r="E2" s="19" t="s">
        <v>43</v>
      </c>
      <c r="F2" s="31" t="s">
        <v>171</v>
      </c>
      <c r="G2" s="19" t="s">
        <v>67</v>
      </c>
      <c r="H2" s="20" t="s">
        <v>25</v>
      </c>
      <c r="I2" s="21">
        <v>21.4</v>
      </c>
      <c r="J2" s="22">
        <v>2.5</v>
      </c>
      <c r="K2" s="23">
        <f>Twirling_Solo_SoloDance_Senior_Intermediate[[#This Row],[Judge 1
Tamara Beljak]]-J2</f>
        <v>18.899999999999999</v>
      </c>
      <c r="L2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Row],[Category]],Twirling_Solo_SoloDance_Senior_Intermediate[J1 TOTAL],"&gt;"&amp;Twirling_Solo_SoloDance_Senior_Intermediate[[#This Row],[J1 TOTAL]])+1</f>
        <v>1</v>
      </c>
      <c r="M2" s="21">
        <v>21.6</v>
      </c>
      <c r="N2" s="22">
        <v>2.5</v>
      </c>
      <c r="O2" s="23">
        <f>Twirling_Solo_SoloDance_Senior_Intermediate[[#This Row],[Judge 2
Tihomir Bendelja]]-Twirling_Solo_SoloDance_Senior_Intermediate[[#This Row],[J2 (-)]]</f>
        <v>19.100000000000001</v>
      </c>
      <c r="P2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Row],[Category]],Twirling_Solo_SoloDance_Senior_Intermediate[J2 TOTAL],"&gt;"&amp;Twirling_Solo_SoloDance_Senior_Intermediate[[#This Row],[J2 TOTAL]])+1</f>
        <v>1</v>
      </c>
      <c r="Q2" s="21">
        <v>21.9</v>
      </c>
      <c r="R2" s="22">
        <v>2.5</v>
      </c>
      <c r="S2" s="23">
        <f>Twirling_Solo_SoloDance_Senior_Intermediate[[#This Row],[Judge 3
Tea Softić]]-R2</f>
        <v>19.399999999999999</v>
      </c>
      <c r="T2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Row],[Category]],Twirling_Solo_SoloDance_Senior_Intermediate[J3 TOTAL],"&gt;"&amp;Twirling_Solo_SoloDance_Senior_Intermediate[[#This Row],[J3 TOTAL]])+1</f>
        <v>1</v>
      </c>
      <c r="U2" s="21"/>
      <c r="V2" s="22"/>
      <c r="W2" s="23">
        <f>Twirling_Solo_SoloDance_Senior_Intermediate[[#This Row],[Judge 4
Bernard Barač]]-V2</f>
        <v>0</v>
      </c>
      <c r="X2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Row],[Category]],Twirling_Solo_SoloDance_Senior_Intermediate[J4 TOTAL],"&gt;"&amp;Twirling_Solo_SoloDance_Senior_Intermediate[[#This Row],[J4 TOTAL]])+1</f>
        <v>1</v>
      </c>
      <c r="Y2" s="21"/>
      <c r="Z2" s="22"/>
      <c r="AA2" s="23">
        <f>Twirling_Solo_SoloDance_Senior_Intermediate[[#This Row],[Judge 5
Barbara Novina]]-Y2</f>
        <v>0</v>
      </c>
      <c r="AB2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Row],[Category]],Twirling_Solo_SoloDance_Senior_Intermediate[J5 TOTAL],"&gt;"&amp;Twirling_Solo_SoloDance_Senior_Intermediate[[#This Row],[J5 TOTAL]])+1</f>
        <v>1</v>
      </c>
      <c r="AC2" s="25">
        <f>SUM(Twirling_Solo_SoloDance_Senior_Intermediate[[#This Row],[J1 TOTAL]]+Twirling_Solo_SoloDance_Senior_Intermediate[[#This Row],[J2 TOTAL]]+Twirling_Solo_SoloDance_Senior_Intermediate[[#This Row],[J3 TOTAL]]+Twirling_Solo_SoloDance_Senior_Intermediate[[#This Row],[J4 TOTAL]])+Twirling_Solo_SoloDance_Senior_Intermediate[[#This Row],[J5 TOTAL]]</f>
        <v>57.4</v>
      </c>
      <c r="AD2" s="25"/>
      <c r="AE2" s="25"/>
      <c r="AF2" s="25">
        <f>SUM(Twirling_Solo_SoloDance_Senior_Intermediate[[#This Row],[Total]]-Twirling_Solo_SoloDance_Senior_Intermediate[[#This Row],[Low]]-Twirling_Solo_SoloDance_Senior_Intermediate[[#This Row],[High]])</f>
        <v>57.4</v>
      </c>
      <c r="AG2" s="25">
        <f t="shared" ref="AG2:AG7" si="0">AVERAGE(I2,M2,Q2,U2,Y2)</f>
        <v>21.633333333333336</v>
      </c>
      <c r="AH2" s="26">
        <f>Twirling_Solo_SoloDance_Senior_Intermediate[[#This Row],[Final Total]]</f>
        <v>57.4</v>
      </c>
      <c r="AI2" s="28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Row],[Category]],Twirling_Solo_SoloDance_Senior_Intermediate[FINAL SCORE],"&gt;"&amp;Twirling_Solo_SoloDance_Senior_Intermediate[[#This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66</v>
      </c>
      <c r="B3" s="19">
        <v>1</v>
      </c>
      <c r="C3" s="19" t="s">
        <v>82</v>
      </c>
      <c r="D3" s="19" t="s">
        <v>29</v>
      </c>
      <c r="E3" s="19" t="s">
        <v>43</v>
      </c>
      <c r="F3" s="31" t="s">
        <v>113</v>
      </c>
      <c r="G3" s="19" t="s">
        <v>45</v>
      </c>
      <c r="H3" s="20" t="s">
        <v>25</v>
      </c>
      <c r="I3" s="21">
        <v>16.600000000000001</v>
      </c>
      <c r="J3" s="22">
        <v>0.5</v>
      </c>
      <c r="K3" s="23">
        <f>Twirling_Solo_SoloDance_Senior_Intermediate[[#This Row],[Judge 1
Tamara Beljak]]-J3</f>
        <v>16.100000000000001</v>
      </c>
      <c r="L3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Row],[Category]],Twirling_Solo_SoloDance_Senior_Intermediate[J1 TOTAL],"&gt;"&amp;Twirling_Solo_SoloDance_Senior_Intermediate[[#This Row],[J1 TOTAL]])+1</f>
        <v>2</v>
      </c>
      <c r="M3" s="21">
        <v>16.8</v>
      </c>
      <c r="N3" s="22">
        <v>0.5</v>
      </c>
      <c r="O3" s="23">
        <f>Twirling_Solo_SoloDance_Senior_Intermediate[[#This Row],[Judge 2
Tihomir Bendelja]]-Twirling_Solo_SoloDance_Senior_Intermediate[[#This Row],[J2 (-)]]</f>
        <v>16.3</v>
      </c>
      <c r="P3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Row],[Category]],Twirling_Solo_SoloDance_Senior_Intermediate[J2 TOTAL],"&gt;"&amp;Twirling_Solo_SoloDance_Senior_Intermediate[[#This Row],[J2 TOTAL]])+1</f>
        <v>2</v>
      </c>
      <c r="Q3" s="21">
        <v>16.2</v>
      </c>
      <c r="R3" s="22">
        <v>0.5</v>
      </c>
      <c r="S3" s="23">
        <f>Twirling_Solo_SoloDance_Senior_Intermediate[[#This Row],[Judge 3
Tea Softić]]-R3</f>
        <v>15.7</v>
      </c>
      <c r="T3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Row],[Category]],Twirling_Solo_SoloDance_Senior_Intermediate[J3 TOTAL],"&gt;"&amp;Twirling_Solo_SoloDance_Senior_Intermediate[[#This Row],[J3 TOTAL]])+1</f>
        <v>2</v>
      </c>
      <c r="U3" s="21"/>
      <c r="V3" s="22"/>
      <c r="W3" s="23">
        <f>Twirling_Solo_SoloDance_Senior_Intermediate[[#This Row],[Judge 4
Bernard Barač]]-V3</f>
        <v>0</v>
      </c>
      <c r="X3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Row],[Category]],Twirling_Solo_SoloDance_Senior_Intermediate[J4 TOTAL],"&gt;"&amp;Twirling_Solo_SoloDance_Senior_Intermediate[[#This Row],[J4 TOTAL]])+1</f>
        <v>1</v>
      </c>
      <c r="Y3" s="21"/>
      <c r="Z3" s="22"/>
      <c r="AA3" s="23">
        <f>Twirling_Solo_SoloDance_Senior_Intermediate[[#This Row],[Judge 5
Barbara Novina]]-Y3</f>
        <v>0</v>
      </c>
      <c r="AB3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Row],[Category]],Twirling_Solo_SoloDance_Senior_Intermediate[J5 TOTAL],"&gt;"&amp;Twirling_Solo_SoloDance_Senior_Intermediate[[#This Row],[J5 TOTAL]])+1</f>
        <v>1</v>
      </c>
      <c r="AC3" s="25">
        <f>SUM(Twirling_Solo_SoloDance_Senior_Intermediate[[#This Row],[J1 TOTAL]]+Twirling_Solo_SoloDance_Senior_Intermediate[[#This Row],[J2 TOTAL]]+Twirling_Solo_SoloDance_Senior_Intermediate[[#This Row],[J3 TOTAL]]+Twirling_Solo_SoloDance_Senior_Intermediate[[#This Row],[J4 TOTAL]])+Twirling_Solo_SoloDance_Senior_Intermediate[[#This Row],[J5 TOTAL]]</f>
        <v>48.100000000000009</v>
      </c>
      <c r="AD3" s="25"/>
      <c r="AE3" s="25"/>
      <c r="AF3" s="25">
        <f>SUM(Twirling_Solo_SoloDance_Senior_Intermediate[[#This Row],[Total]]-Twirling_Solo_SoloDance_Senior_Intermediate[[#This Row],[Low]]-Twirling_Solo_SoloDance_Senior_Intermediate[[#This Row],[High]])</f>
        <v>48.100000000000009</v>
      </c>
      <c r="AG3" s="25">
        <f t="shared" si="0"/>
        <v>16.533333333333335</v>
      </c>
      <c r="AH3" s="26">
        <f>Twirling_Solo_SoloDance_Senior_Intermediate[[#This Row],[Final Total]]</f>
        <v>48.100000000000009</v>
      </c>
      <c r="AI3" s="28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Row],[Category]],Twirling_Solo_SoloDance_Senior_Intermediate[FINAL SCORE],"&gt;"&amp;Twirling_Solo_SoloDance_Senior_Intermediate[[#This Row],[FINAL SCORE]])+1</f>
        <v>2</v>
      </c>
      <c r="AJ3" s="18" t="s">
        <v>33</v>
      </c>
    </row>
    <row r="4" spans="1:55" ht="15.6" x14ac:dyDescent="0.3">
      <c r="A4" s="18">
        <v>72</v>
      </c>
      <c r="B4" s="19">
        <v>1</v>
      </c>
      <c r="C4" s="19" t="s">
        <v>82</v>
      </c>
      <c r="D4" s="19" t="s">
        <v>29</v>
      </c>
      <c r="E4" s="19" t="s">
        <v>43</v>
      </c>
      <c r="F4" s="31" t="s">
        <v>172</v>
      </c>
      <c r="G4" s="19" t="s">
        <v>32</v>
      </c>
      <c r="H4" s="20" t="s">
        <v>25</v>
      </c>
      <c r="I4" s="21">
        <v>17</v>
      </c>
      <c r="J4" s="22">
        <v>3</v>
      </c>
      <c r="K4" s="23">
        <f>Twirling_Solo_SoloDance_Senior_Intermediate[[#This Row],[Judge 1
Tamara Beljak]]-J4</f>
        <v>14</v>
      </c>
      <c r="L4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Row],[Category]],Twirling_Solo_SoloDance_Senior_Intermediate[J1 TOTAL],"&gt;"&amp;Twirling_Solo_SoloDance_Senior_Intermediate[[#This Row],[J1 TOTAL]])+1</f>
        <v>3</v>
      </c>
      <c r="M4" s="21">
        <v>18.5</v>
      </c>
      <c r="N4" s="22">
        <v>3</v>
      </c>
      <c r="O4" s="23">
        <f>Twirling_Solo_SoloDance_Senior_Intermediate[[#This Row],[Judge 2
Tihomir Bendelja]]-Twirling_Solo_SoloDance_Senior_Intermediate[[#This Row],[J2 (-)]]</f>
        <v>15.5</v>
      </c>
      <c r="P4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Row],[Category]],Twirling_Solo_SoloDance_Senior_Intermediate[J2 TOTAL],"&gt;"&amp;Twirling_Solo_SoloDance_Senior_Intermediate[[#This Row],[J2 TOTAL]])+1</f>
        <v>3</v>
      </c>
      <c r="Q4" s="21">
        <v>16.8</v>
      </c>
      <c r="R4" s="22">
        <v>3</v>
      </c>
      <c r="S4" s="23">
        <f>Twirling_Solo_SoloDance_Senior_Intermediate[[#This Row],[Judge 3
Tea Softić]]-R4</f>
        <v>13.8</v>
      </c>
      <c r="T4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Row],[Category]],Twirling_Solo_SoloDance_Senior_Intermediate[J3 TOTAL],"&gt;"&amp;Twirling_Solo_SoloDance_Senior_Intermediate[[#This Row],[J3 TOTAL]])+1</f>
        <v>3</v>
      </c>
      <c r="U4" s="21"/>
      <c r="V4" s="22"/>
      <c r="W4" s="23">
        <f>Twirling_Solo_SoloDance_Senior_Intermediate[[#This Row],[Judge 4
Bernard Barač]]-V4</f>
        <v>0</v>
      </c>
      <c r="X4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Row],[Category]],Twirling_Solo_SoloDance_Senior_Intermediate[J4 TOTAL],"&gt;"&amp;Twirling_Solo_SoloDance_Senior_Intermediate[[#This Row],[J4 TOTAL]])+1</f>
        <v>1</v>
      </c>
      <c r="Y4" s="21"/>
      <c r="Z4" s="22"/>
      <c r="AA4" s="23">
        <f>Twirling_Solo_SoloDance_Senior_Intermediate[[#This Row],[Judge 5
Barbara Novina]]-Y4</f>
        <v>0</v>
      </c>
      <c r="AB4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Row],[Category]],Twirling_Solo_SoloDance_Senior_Intermediate[J5 TOTAL],"&gt;"&amp;Twirling_Solo_SoloDance_Senior_Intermediate[[#This Row],[J5 TOTAL]])+1</f>
        <v>1</v>
      </c>
      <c r="AC4" s="25">
        <f>SUM(Twirling_Solo_SoloDance_Senior_Intermediate[[#This Row],[J1 TOTAL]]+Twirling_Solo_SoloDance_Senior_Intermediate[[#This Row],[J2 TOTAL]]+Twirling_Solo_SoloDance_Senior_Intermediate[[#This Row],[J3 TOTAL]]+Twirling_Solo_SoloDance_Senior_Intermediate[[#This Row],[J4 TOTAL]])+Twirling_Solo_SoloDance_Senior_Intermediate[[#This Row],[J5 TOTAL]]</f>
        <v>43.3</v>
      </c>
      <c r="AD4" s="25"/>
      <c r="AE4" s="25"/>
      <c r="AF4" s="25">
        <f>SUM(Twirling_Solo_SoloDance_Senior_Intermediate[[#This Row],[Total]]-Twirling_Solo_SoloDance_Senior_Intermediate[[#This Row],[Low]]-Twirling_Solo_SoloDance_Senior_Intermediate[[#This Row],[High]])</f>
        <v>43.3</v>
      </c>
      <c r="AG4" s="25">
        <f t="shared" si="0"/>
        <v>17.433333333333334</v>
      </c>
      <c r="AH4" s="26">
        <f>Twirling_Solo_SoloDance_Senior_Intermediate[[#This Row],[Final Total]]</f>
        <v>43.3</v>
      </c>
      <c r="AI4" s="28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Row],[Category]],Twirling_Solo_SoloDance_Senior_Intermediate[FINAL SCORE],"&gt;"&amp;Twirling_Solo_SoloDance_Senior_Intermediate[[#This Row],[FINAL SCORE]])+1</f>
        <v>3</v>
      </c>
      <c r="AJ4" s="18" t="s">
        <v>33</v>
      </c>
    </row>
    <row r="5" spans="1:55" ht="15.6" x14ac:dyDescent="0.3">
      <c r="A5" s="18">
        <v>62</v>
      </c>
      <c r="B5" s="19">
        <v>1</v>
      </c>
      <c r="C5" s="19" t="s">
        <v>82</v>
      </c>
      <c r="D5" s="19" t="s">
        <v>29</v>
      </c>
      <c r="E5" s="19" t="s">
        <v>43</v>
      </c>
      <c r="F5" s="31" t="s">
        <v>170</v>
      </c>
      <c r="G5" s="19" t="s">
        <v>109</v>
      </c>
      <c r="H5" s="20" t="s">
        <v>28</v>
      </c>
      <c r="I5" s="21">
        <v>11.8</v>
      </c>
      <c r="J5" s="22">
        <v>1.5</v>
      </c>
      <c r="K5" s="23">
        <f>Twirling_Solo_SoloDance_Senior_Intermediate[[#This Row],[Judge 1
Tamara Beljak]]-J5</f>
        <v>10.3</v>
      </c>
      <c r="L5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Row],[Category]],Twirling_Solo_SoloDance_Senior_Intermediate[J1 TOTAL],"&gt;"&amp;Twirling_Solo_SoloDance_Senior_Intermediate[[#This Row],[J1 TOTAL]])+1</f>
        <v>4</v>
      </c>
      <c r="M5" s="21">
        <v>11.7</v>
      </c>
      <c r="N5" s="22">
        <v>1.5</v>
      </c>
      <c r="O5" s="23">
        <f>Twirling_Solo_SoloDance_Senior_Intermediate[[#This Row],[Judge 2
Tihomir Bendelja]]-Twirling_Solo_SoloDance_Senior_Intermediate[[#This Row],[J2 (-)]]</f>
        <v>10.199999999999999</v>
      </c>
      <c r="P5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Row],[Category]],Twirling_Solo_SoloDance_Senior_Intermediate[J2 TOTAL],"&gt;"&amp;Twirling_Solo_SoloDance_Senior_Intermediate[[#This Row],[J2 TOTAL]])+1</f>
        <v>4</v>
      </c>
      <c r="Q5" s="21">
        <v>12.4</v>
      </c>
      <c r="R5" s="22">
        <v>1.5</v>
      </c>
      <c r="S5" s="23">
        <f>Twirling_Solo_SoloDance_Senior_Intermediate[[#This Row],[Judge 3
Tea Softić]]-R5</f>
        <v>10.9</v>
      </c>
      <c r="T5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Row],[Category]],Twirling_Solo_SoloDance_Senior_Intermediate[J3 TOTAL],"&gt;"&amp;Twirling_Solo_SoloDance_Senior_Intermediate[[#This Row],[J3 TOTAL]])+1</f>
        <v>4</v>
      </c>
      <c r="U5" s="21"/>
      <c r="V5" s="22"/>
      <c r="W5" s="23">
        <f>Twirling_Solo_SoloDance_Senior_Intermediate[[#This Row],[Judge 4
Bernard Barač]]-V5</f>
        <v>0</v>
      </c>
      <c r="X5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Row],[Category]],Twirling_Solo_SoloDance_Senior_Intermediate[J4 TOTAL],"&gt;"&amp;Twirling_Solo_SoloDance_Senior_Intermediate[[#This Row],[J4 TOTAL]])+1</f>
        <v>1</v>
      </c>
      <c r="Y5" s="21"/>
      <c r="Z5" s="22"/>
      <c r="AA5" s="23">
        <f>Twirling_Solo_SoloDance_Senior_Intermediate[[#This Row],[Judge 5
Barbara Novina]]-Y5</f>
        <v>0</v>
      </c>
      <c r="AB5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Row],[Category]],Twirling_Solo_SoloDance_Senior_Intermediate[J5 TOTAL],"&gt;"&amp;Twirling_Solo_SoloDance_Senior_Intermediate[[#This Row],[J5 TOTAL]])+1</f>
        <v>1</v>
      </c>
      <c r="AC5" s="25">
        <f>SUM(Twirling_Solo_SoloDance_Senior_Intermediate[[#This Row],[J1 TOTAL]]+Twirling_Solo_SoloDance_Senior_Intermediate[[#This Row],[J2 TOTAL]]+Twirling_Solo_SoloDance_Senior_Intermediate[[#This Row],[J3 TOTAL]]+Twirling_Solo_SoloDance_Senior_Intermediate[[#This Row],[J4 TOTAL]])+Twirling_Solo_SoloDance_Senior_Intermediate[[#This Row],[J5 TOTAL]]</f>
        <v>31.4</v>
      </c>
      <c r="AD5" s="25"/>
      <c r="AE5" s="25"/>
      <c r="AF5" s="25">
        <f>SUM(Twirling_Solo_SoloDance_Senior_Intermediate[[#This Row],[Total]]-Twirling_Solo_SoloDance_Senior_Intermediate[[#This Row],[Low]]-Twirling_Solo_SoloDance_Senior_Intermediate[[#This Row],[High]])</f>
        <v>31.4</v>
      </c>
      <c r="AG5" s="25">
        <f t="shared" si="0"/>
        <v>11.966666666666667</v>
      </c>
      <c r="AH5" s="26">
        <f>Twirling_Solo_SoloDance_Senior_Intermediate[[#This Row],[Final Total]]</f>
        <v>31.4</v>
      </c>
      <c r="AI5" s="27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Row],[Category]],Twirling_Solo_SoloDance_Senior_Intermediate[FINAL SCORE],"&gt;"&amp;Twirling_Solo_SoloDance_Senior_Intermediate[[#This Row],[FINAL SCORE]])+1</f>
        <v>4</v>
      </c>
      <c r="AJ5" s="18" t="s">
        <v>33</v>
      </c>
    </row>
    <row r="6" spans="1:55" ht="15.6" x14ac:dyDescent="0.3">
      <c r="A6" s="18">
        <v>70</v>
      </c>
      <c r="B6" s="19">
        <v>1</v>
      </c>
      <c r="C6" s="19" t="s">
        <v>82</v>
      </c>
      <c r="D6" s="19" t="s">
        <v>29</v>
      </c>
      <c r="E6" s="19" t="s">
        <v>43</v>
      </c>
      <c r="F6" s="31" t="s">
        <v>108</v>
      </c>
      <c r="G6" s="19" t="s">
        <v>109</v>
      </c>
      <c r="H6" s="20" t="s">
        <v>28</v>
      </c>
      <c r="I6" s="21">
        <v>12.8</v>
      </c>
      <c r="J6" s="22">
        <v>4</v>
      </c>
      <c r="K6" s="23">
        <f>Twirling_Solo_SoloDance_Senior_Intermediate[[#This Row],[Judge 1
Tamara Beljak]]-J6</f>
        <v>8.8000000000000007</v>
      </c>
      <c r="L6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Row],[Category]],Twirling_Solo_SoloDance_Senior_Intermediate[J1 TOTAL],"&gt;"&amp;Twirling_Solo_SoloDance_Senior_Intermediate[[#This Row],[J1 TOTAL]])+1</f>
        <v>5</v>
      </c>
      <c r="M6" s="21">
        <v>10.4</v>
      </c>
      <c r="N6" s="22">
        <v>4</v>
      </c>
      <c r="O6" s="23">
        <f>Twirling_Solo_SoloDance_Senior_Intermediate[[#This Row],[Judge 2
Tihomir Bendelja]]-Twirling_Solo_SoloDance_Senior_Intermediate[[#This Row],[J2 (-)]]</f>
        <v>6.4</v>
      </c>
      <c r="P6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Row],[Category]],Twirling_Solo_SoloDance_Senior_Intermediate[J2 TOTAL],"&gt;"&amp;Twirling_Solo_SoloDance_Senior_Intermediate[[#This Row],[J2 TOTAL]])+1</f>
        <v>5</v>
      </c>
      <c r="Q6" s="21">
        <v>11.9</v>
      </c>
      <c r="R6" s="22">
        <v>4</v>
      </c>
      <c r="S6" s="23">
        <f>Twirling_Solo_SoloDance_Senior_Intermediate[[#This Row],[Judge 3
Tea Softić]]-R6</f>
        <v>7.9</v>
      </c>
      <c r="T6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Row],[Category]],Twirling_Solo_SoloDance_Senior_Intermediate[J3 TOTAL],"&gt;"&amp;Twirling_Solo_SoloDance_Senior_Intermediate[[#This Row],[J3 TOTAL]])+1</f>
        <v>5</v>
      </c>
      <c r="U6" s="21"/>
      <c r="V6" s="22"/>
      <c r="W6" s="23">
        <f>Twirling_Solo_SoloDance_Senior_Intermediate[[#This Row],[Judge 4
Bernard Barač]]-V6</f>
        <v>0</v>
      </c>
      <c r="X6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Row],[Category]],Twirling_Solo_SoloDance_Senior_Intermediate[J4 TOTAL],"&gt;"&amp;Twirling_Solo_SoloDance_Senior_Intermediate[[#This Row],[J4 TOTAL]])+1</f>
        <v>1</v>
      </c>
      <c r="Y6" s="21"/>
      <c r="Z6" s="22"/>
      <c r="AA6" s="23">
        <f>Twirling_Solo_SoloDance_Senior_Intermediate[[#This Row],[Judge 5
Barbara Novina]]-Y6</f>
        <v>0</v>
      </c>
      <c r="AB6" s="2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Row],[Category]],Twirling_Solo_SoloDance_Senior_Intermediate[J5 TOTAL],"&gt;"&amp;Twirling_Solo_SoloDance_Senior_Intermediate[[#This Row],[J5 TOTAL]])+1</f>
        <v>1</v>
      </c>
      <c r="AC6" s="25">
        <f>SUM(Twirling_Solo_SoloDance_Senior_Intermediate[[#This Row],[J1 TOTAL]]+Twirling_Solo_SoloDance_Senior_Intermediate[[#This Row],[J2 TOTAL]]+Twirling_Solo_SoloDance_Senior_Intermediate[[#This Row],[J3 TOTAL]]+Twirling_Solo_SoloDance_Senior_Intermediate[[#This Row],[J4 TOTAL]])+Twirling_Solo_SoloDance_Senior_Intermediate[[#This Row],[J5 TOTAL]]</f>
        <v>23.1</v>
      </c>
      <c r="AD6" s="25"/>
      <c r="AE6" s="25"/>
      <c r="AF6" s="25">
        <f>SUM(Twirling_Solo_SoloDance_Senior_Intermediate[[#This Row],[Total]]-Twirling_Solo_SoloDance_Senior_Intermediate[[#This Row],[Low]]-Twirling_Solo_SoloDance_Senior_Intermediate[[#This Row],[High]])</f>
        <v>23.1</v>
      </c>
      <c r="AG6" s="25">
        <f t="shared" si="0"/>
        <v>11.700000000000001</v>
      </c>
      <c r="AH6" s="26">
        <f>Twirling_Solo_SoloDance_Senior_Intermediate[[#This Row],[Final Total]]</f>
        <v>23.1</v>
      </c>
      <c r="AI6" s="28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Row],[Category]],Twirling_Solo_SoloDance_Senior_Intermediate[FINAL SCORE],"&gt;"&amp;Twirling_Solo_SoloDance_Senior_Intermediate[[#This Row],[FINAL SCORE]])+1</f>
        <v>5</v>
      </c>
      <c r="AJ6" s="18" t="s">
        <v>33</v>
      </c>
    </row>
    <row r="7" spans="1:55" ht="15.6" x14ac:dyDescent="0.3">
      <c r="A7" s="48">
        <v>64</v>
      </c>
      <c r="B7" s="49">
        <v>1</v>
      </c>
      <c r="C7" s="49" t="s">
        <v>82</v>
      </c>
      <c r="D7" s="49" t="s">
        <v>29</v>
      </c>
      <c r="E7" s="67" t="s">
        <v>43</v>
      </c>
      <c r="F7" s="49" t="s">
        <v>115</v>
      </c>
      <c r="G7" s="49" t="s">
        <v>63</v>
      </c>
      <c r="H7" s="50" t="s">
        <v>25</v>
      </c>
      <c r="I7" s="51"/>
      <c r="J7" s="51"/>
      <c r="K7" s="51">
        <f>Twirling_Solo_SoloDance_Senior_Intermediate[[#This Row],[Judge 1
Tamara Beljak]]-J7</f>
        <v>0</v>
      </c>
      <c r="L7" s="52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Row],[Category]],Twirling_Solo_SoloDance_Senior_Intermediate[J1 TOTAL],"&gt;"&amp;Twirling_Solo_SoloDance_Senior_Intermediate[[#This Row],[J1 TOTAL]])+1</f>
        <v>6</v>
      </c>
      <c r="M7" s="51"/>
      <c r="N7" s="51"/>
      <c r="O7" s="51">
        <f>Twirling_Solo_SoloDance_Senior_Intermediate[[#This Row],[Judge 2
Tihomir Bendelja]]-Twirling_Solo_SoloDance_Senior_Intermediate[[#This Row],[J2 (-)]]</f>
        <v>0</v>
      </c>
      <c r="P7" s="52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Row],[Category]],Twirling_Solo_SoloDance_Senior_Intermediate[J2 TOTAL],"&gt;"&amp;Twirling_Solo_SoloDance_Senior_Intermediate[[#This Row],[J2 TOTAL]])+1</f>
        <v>6</v>
      </c>
      <c r="Q7" s="51"/>
      <c r="R7" s="51"/>
      <c r="S7" s="51">
        <f>Twirling_Solo_SoloDance_Senior_Intermediate[[#This Row],[Judge 3
Tea Softić]]-R7</f>
        <v>0</v>
      </c>
      <c r="T7" s="52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Row],[Category]],Twirling_Solo_SoloDance_Senior_Intermediate[J3 TOTAL],"&gt;"&amp;Twirling_Solo_SoloDance_Senior_Intermediate[[#This Row],[J3 TOTAL]])+1</f>
        <v>6</v>
      </c>
      <c r="U7" s="51"/>
      <c r="V7" s="51"/>
      <c r="W7" s="51">
        <f>Twirling_Solo_SoloDance_Senior_Intermediate[[#This Row],[Judge 4
Bernard Barač]]-V7</f>
        <v>0</v>
      </c>
      <c r="X7" s="52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Row],[Category]],Twirling_Solo_SoloDance_Senior_Intermediate[J4 TOTAL],"&gt;"&amp;Twirling_Solo_SoloDance_Senior_Intermediate[[#This Row],[J4 TOTAL]])+1</f>
        <v>1</v>
      </c>
      <c r="Y7" s="51"/>
      <c r="Z7" s="51"/>
      <c r="AA7" s="51">
        <f>Twirling_Solo_SoloDance_Senior_Intermediate[[#This Row],[Judge 5
Barbara Novina]]-Y7</f>
        <v>0</v>
      </c>
      <c r="AB7" s="52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Row],[Category]],Twirling_Solo_SoloDance_Senior_Intermediate[J5 TOTAL],"&gt;"&amp;Twirling_Solo_SoloDance_Senior_Intermediate[[#This Row],[J5 TOTAL]])+1</f>
        <v>1</v>
      </c>
      <c r="AC7" s="51">
        <f>SUM(Twirling_Solo_SoloDance_Senior_Intermediate[[#This Row],[J1 TOTAL]]+Twirling_Solo_SoloDance_Senior_Intermediate[[#This Row],[J2 TOTAL]]+Twirling_Solo_SoloDance_Senior_Intermediate[[#This Row],[J3 TOTAL]]+Twirling_Solo_SoloDance_Senior_Intermediate[[#This Row],[J4 TOTAL]])+Twirling_Solo_SoloDance_Senior_Intermediate[[#This Row],[J5 TOTAL]]</f>
        <v>0</v>
      </c>
      <c r="AD7" s="51"/>
      <c r="AE7" s="51"/>
      <c r="AF7" s="51">
        <f>SUM(Twirling_Solo_SoloDance_Senior_Intermediate[[#This Row],[Total]]-Twirling_Solo_SoloDance_Senior_Intermediate[[#This Row],[Low]]-Twirling_Solo_SoloDance_Senior_Intermediate[[#This Row],[High]])</f>
        <v>0</v>
      </c>
      <c r="AG7" s="51" t="e">
        <f t="shared" si="0"/>
        <v>#DIV/0!</v>
      </c>
      <c r="AH7" s="53">
        <f>Twirling_Solo_SoloDance_Senior_Intermediate[[#This Row],[Final Total]]</f>
        <v>0</v>
      </c>
      <c r="AI7" s="54">
        <f>COUNTIFS(Twirling_Solo_SoloDance_Senior_Intermediate[Age
Division],Twirling_Solo_SoloDance_Senior_Intermediate[[#This Row],[Age
Division]],Twirling_Solo_SoloDance_Senior_Intermediate[Category],Twirling_Solo_SoloDance_Senior_Intermediate[[#This Row],[Category]],Twirling_Solo_SoloDance_Senior_Intermediate[FINAL SCORE],"&gt;"&amp;Twirling_Solo_SoloDance_Senior_Intermediate[[#This Row],[FINAL SCORE]])+1</f>
        <v>6</v>
      </c>
      <c r="AJ7" s="48" t="s">
        <v>33</v>
      </c>
    </row>
  </sheetData>
  <sheetProtection algorithmName="SHA-512" hashValue="67WsK+8BYkWpNBqLC2Q+yPH5pviO1ZPFGJdMpMeq9gG/jz13DCTFV9Jk2akCJmoASWmFgH03F5JQXIms2sDE6A==" saltValue="3QHvUjKLFZ70fHMsc1OZ0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DD0A7-749B-4A2B-ABE3-F2F7E3CE4A39}">
  <sheetPr codeName="Sheet14"/>
  <dimension ref="A1:BC21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7" style="30" customWidth="1"/>
    <col min="5" max="5" width="10.109375" style="30" customWidth="1"/>
    <col min="6" max="6" width="21.109375" style="20" customWidth="1"/>
    <col min="7" max="7" width="42.6640625" style="20" customWidth="1"/>
    <col min="8" max="8" width="9.33203125" style="20" customWidth="1"/>
    <col min="9" max="20" width="9.109375" style="20" hidden="1" customWidth="1"/>
    <col min="21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57</v>
      </c>
      <c r="B2" s="19">
        <v>2</v>
      </c>
      <c r="C2" s="19" t="s">
        <v>82</v>
      </c>
      <c r="D2" s="19" t="s">
        <v>23</v>
      </c>
      <c r="E2" s="19" t="s">
        <v>51</v>
      </c>
      <c r="F2" s="31" t="s">
        <v>91</v>
      </c>
      <c r="G2" s="19" t="s">
        <v>45</v>
      </c>
      <c r="H2" s="20" t="s">
        <v>25</v>
      </c>
      <c r="I2" s="21"/>
      <c r="J2" s="22"/>
      <c r="K2" s="23">
        <f>Twirling_Solo_SoloDance_Cadet_Beginner[[#This Row],[Judge 1
Tamara Beljak]]-J2</f>
        <v>0</v>
      </c>
      <c r="L2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2" s="21"/>
      <c r="N2" s="22"/>
      <c r="O2" s="23">
        <f>Twirling_Solo_SoloDance_Cadet_Beginner[[#This Row],[Judge 2
Tihomir Bendelja]]-Twirling_Solo_SoloDance_Cadet_Beginner[[#This Row],[J2 (-)]]</f>
        <v>0</v>
      </c>
      <c r="P2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2" s="21"/>
      <c r="R2" s="22"/>
      <c r="S2" s="23">
        <f>Twirling_Solo_SoloDance_Cadet_Beginner[[#This Row],[Judge 3
Tea Softić]]-R2</f>
        <v>0</v>
      </c>
      <c r="T2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2" s="21">
        <v>12.3</v>
      </c>
      <c r="V2" s="22">
        <v>0.5</v>
      </c>
      <c r="W2" s="23">
        <f>Twirling_Solo_SoloDance_Cadet_Beginner[[#This Row],[Judge 4
Bernard Barač]]-V2</f>
        <v>11.8</v>
      </c>
      <c r="X2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</v>
      </c>
      <c r="Y2" s="21">
        <v>12</v>
      </c>
      <c r="Z2" s="22">
        <v>0.5</v>
      </c>
      <c r="AA2" s="23">
        <f>Twirling_Solo_SoloDance_Cadet_Beginner[[#This Row],[Judge 5
Barbara Novina]]-Z2</f>
        <v>11.5</v>
      </c>
      <c r="AB2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1</v>
      </c>
      <c r="AC2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23.3</v>
      </c>
      <c r="AD2" s="25"/>
      <c r="AE2" s="25"/>
      <c r="AF2" s="25">
        <f>SUM(Twirling_Solo_SoloDance_Cadet_Beginner[[#This Row],[Total]]-Twirling_Solo_SoloDance_Cadet_Beginner[[#This Row],[Low]]-Twirling_Solo_SoloDance_Cadet_Beginner[[#This Row],[High]])</f>
        <v>23.3</v>
      </c>
      <c r="AG2" s="25">
        <f t="shared" ref="AG2:AG21" si="0">AVERAGE(I2,M2,Q2,U2,Y2)</f>
        <v>12.15</v>
      </c>
      <c r="AH2" s="26">
        <f>Twirling_Solo_SoloDance_Cadet_Beginner[[#This Row],[Final Total]]</f>
        <v>23.3</v>
      </c>
      <c r="AI2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1</v>
      </c>
      <c r="AJ2" s="18" t="s">
        <v>33</v>
      </c>
      <c r="AK2" s="16"/>
      <c r="AL2" s="68"/>
      <c r="AM2" s="68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61</v>
      </c>
      <c r="B3" s="19">
        <v>2</v>
      </c>
      <c r="C3" s="19" t="s">
        <v>82</v>
      </c>
      <c r="D3" s="19" t="s">
        <v>23</v>
      </c>
      <c r="E3" s="19" t="s">
        <v>51</v>
      </c>
      <c r="F3" s="31" t="s">
        <v>149</v>
      </c>
      <c r="G3" s="19" t="s">
        <v>32</v>
      </c>
      <c r="H3" s="20" t="s">
        <v>25</v>
      </c>
      <c r="I3" s="21"/>
      <c r="J3" s="22"/>
      <c r="K3" s="23">
        <f>Twirling_Solo_SoloDance_Cadet_Beginner[[#This Row],[Judge 1
Tamara Beljak]]-J3</f>
        <v>0</v>
      </c>
      <c r="L3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3" s="21"/>
      <c r="N3" s="22"/>
      <c r="O3" s="23">
        <f>Twirling_Solo_SoloDance_Cadet_Beginner[[#This Row],[Judge 2
Tihomir Bendelja]]-Twirling_Solo_SoloDance_Cadet_Beginner[[#This Row],[J2 (-)]]</f>
        <v>0</v>
      </c>
      <c r="P3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3" s="21"/>
      <c r="R3" s="22"/>
      <c r="S3" s="23">
        <f>Twirling_Solo_SoloDance_Cadet_Beginner[[#This Row],[Judge 3
Tea Softić]]-R3</f>
        <v>0</v>
      </c>
      <c r="T3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3" s="21">
        <v>12.3</v>
      </c>
      <c r="V3" s="22">
        <v>0.5</v>
      </c>
      <c r="W3" s="23">
        <f>Twirling_Solo_SoloDance_Cadet_Beginner[[#This Row],[Judge 4
Bernard Barač]]-V3</f>
        <v>11.8</v>
      </c>
      <c r="X3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</v>
      </c>
      <c r="Y3" s="21">
        <v>11.3</v>
      </c>
      <c r="Z3" s="22">
        <v>0.5</v>
      </c>
      <c r="AA3" s="23">
        <f>Twirling_Solo_SoloDance_Cadet_Beginner[[#This Row],[Judge 5
Barbara Novina]]-Z3</f>
        <v>10.8</v>
      </c>
      <c r="AB3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2</v>
      </c>
      <c r="AC3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22.6</v>
      </c>
      <c r="AD3" s="25"/>
      <c r="AE3" s="25"/>
      <c r="AF3" s="25">
        <f>SUM(Twirling_Solo_SoloDance_Cadet_Beginner[[#This Row],[Total]]-Twirling_Solo_SoloDance_Cadet_Beginner[[#This Row],[Low]]-Twirling_Solo_SoloDance_Cadet_Beginner[[#This Row],[High]])</f>
        <v>22.6</v>
      </c>
      <c r="AG3" s="25">
        <f t="shared" si="0"/>
        <v>11.8</v>
      </c>
      <c r="AH3" s="26">
        <f>Twirling_Solo_SoloDance_Cadet_Beginner[[#This Row],[Final Total]]</f>
        <v>22.6</v>
      </c>
      <c r="AI3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2</v>
      </c>
      <c r="AJ3" s="18" t="s">
        <v>33</v>
      </c>
      <c r="AL3" s="68"/>
      <c r="AM3" s="68"/>
    </row>
    <row r="4" spans="1:55" ht="15.6" x14ac:dyDescent="0.3">
      <c r="A4" s="18">
        <v>53</v>
      </c>
      <c r="B4" s="19">
        <v>2</v>
      </c>
      <c r="C4" s="19" t="s">
        <v>82</v>
      </c>
      <c r="D4" s="19" t="s">
        <v>23</v>
      </c>
      <c r="E4" s="19" t="s">
        <v>51</v>
      </c>
      <c r="F4" s="31" t="s">
        <v>147</v>
      </c>
      <c r="G4" s="19" t="s">
        <v>47</v>
      </c>
      <c r="H4" s="20" t="s">
        <v>25</v>
      </c>
      <c r="I4" s="21"/>
      <c r="J4" s="22"/>
      <c r="K4" s="23">
        <f>Twirling_Solo_SoloDance_Cadet_Beginner[[#This Row],[Judge 1
Tamara Beljak]]-J4</f>
        <v>0</v>
      </c>
      <c r="L4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4" s="21"/>
      <c r="N4" s="22"/>
      <c r="O4" s="23">
        <f>Twirling_Solo_SoloDance_Cadet_Beginner[[#This Row],[Judge 2
Tihomir Bendelja]]-Twirling_Solo_SoloDance_Cadet_Beginner[[#This Row],[J2 (-)]]</f>
        <v>0</v>
      </c>
      <c r="P4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4" s="21"/>
      <c r="R4" s="22"/>
      <c r="S4" s="23">
        <f>Twirling_Solo_SoloDance_Cadet_Beginner[[#This Row],[Judge 3
Tea Softić]]-R4</f>
        <v>0</v>
      </c>
      <c r="T4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4" s="21">
        <v>11.3</v>
      </c>
      <c r="V4" s="22">
        <v>0</v>
      </c>
      <c r="W4" s="23">
        <f>Twirling_Solo_SoloDance_Cadet_Beginner[[#This Row],[Judge 4
Bernard Barač]]-V4</f>
        <v>11.3</v>
      </c>
      <c r="X4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3</v>
      </c>
      <c r="Y4" s="21">
        <v>10.8</v>
      </c>
      <c r="Z4" s="22">
        <v>0</v>
      </c>
      <c r="AA4" s="23">
        <f>Twirling_Solo_SoloDance_Cadet_Beginner[[#This Row],[Judge 5
Barbara Novina]]-Z4</f>
        <v>10.8</v>
      </c>
      <c r="AB4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2</v>
      </c>
      <c r="AC4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22.1</v>
      </c>
      <c r="AD4" s="25"/>
      <c r="AE4" s="25"/>
      <c r="AF4" s="25">
        <f>SUM(Twirling_Solo_SoloDance_Cadet_Beginner[[#This Row],[Total]]-Twirling_Solo_SoloDance_Cadet_Beginner[[#This Row],[Low]]-Twirling_Solo_SoloDance_Cadet_Beginner[[#This Row],[High]])</f>
        <v>22.1</v>
      </c>
      <c r="AG4" s="25">
        <f t="shared" si="0"/>
        <v>11.05</v>
      </c>
      <c r="AH4" s="26">
        <f>Twirling_Solo_SoloDance_Cadet_Beginner[[#This Row],[Final Total]]</f>
        <v>22.1</v>
      </c>
      <c r="AI4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3</v>
      </c>
      <c r="AJ4" s="18" t="s">
        <v>33</v>
      </c>
      <c r="AL4" s="68"/>
      <c r="AM4" s="68"/>
    </row>
    <row r="5" spans="1:55" ht="15.6" x14ac:dyDescent="0.3">
      <c r="A5" s="18">
        <v>69</v>
      </c>
      <c r="B5" s="19">
        <v>2</v>
      </c>
      <c r="C5" s="19" t="s">
        <v>82</v>
      </c>
      <c r="D5" s="19" t="s">
        <v>23</v>
      </c>
      <c r="E5" s="19" t="s">
        <v>51</v>
      </c>
      <c r="F5" s="31" t="s">
        <v>128</v>
      </c>
      <c r="G5" s="19" t="s">
        <v>32</v>
      </c>
      <c r="H5" s="20" t="s">
        <v>25</v>
      </c>
      <c r="I5" s="21"/>
      <c r="J5" s="22"/>
      <c r="K5" s="23">
        <f>Twirling_Solo_SoloDance_Cadet_Beginner[[#This Row],[Judge 1
Tamara Beljak]]-J5</f>
        <v>0</v>
      </c>
      <c r="L5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5" s="21"/>
      <c r="N5" s="22"/>
      <c r="O5" s="23">
        <f>Twirling_Solo_SoloDance_Cadet_Beginner[[#This Row],[Judge 2
Tihomir Bendelja]]-Twirling_Solo_SoloDance_Cadet_Beginner[[#This Row],[J2 (-)]]</f>
        <v>0</v>
      </c>
      <c r="P5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5" s="21"/>
      <c r="R5" s="22"/>
      <c r="S5" s="23">
        <f>Twirling_Solo_SoloDance_Cadet_Beginner[[#This Row],[Judge 3
Tea Softić]]-R5</f>
        <v>0</v>
      </c>
      <c r="T5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5" s="21">
        <v>11.8</v>
      </c>
      <c r="V5" s="22">
        <v>1</v>
      </c>
      <c r="W5" s="23">
        <f>Twirling_Solo_SoloDance_Cadet_Beginner[[#This Row],[Judge 4
Bernard Barač]]-V5</f>
        <v>10.8</v>
      </c>
      <c r="X5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4</v>
      </c>
      <c r="Y5" s="21">
        <v>10.6</v>
      </c>
      <c r="Z5" s="22">
        <v>1</v>
      </c>
      <c r="AA5" s="23">
        <f>Twirling_Solo_SoloDance_Cadet_Beginner[[#This Row],[Judge 5
Barbara Novina]]-Z5</f>
        <v>9.6</v>
      </c>
      <c r="AB5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6</v>
      </c>
      <c r="AC5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20.399999999999999</v>
      </c>
      <c r="AD5" s="25"/>
      <c r="AE5" s="25"/>
      <c r="AF5" s="25">
        <f>SUM(Twirling_Solo_SoloDance_Cadet_Beginner[[#This Row],[Total]]-Twirling_Solo_SoloDance_Cadet_Beginner[[#This Row],[Low]]-Twirling_Solo_SoloDance_Cadet_Beginner[[#This Row],[High]])</f>
        <v>20.399999999999999</v>
      </c>
      <c r="AG5" s="25">
        <f t="shared" si="0"/>
        <v>11.2</v>
      </c>
      <c r="AH5" s="26">
        <f>Twirling_Solo_SoloDance_Cadet_Beginner[[#This Row],[Final Total]]</f>
        <v>20.399999999999999</v>
      </c>
      <c r="AI5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4</v>
      </c>
      <c r="AJ5" s="18" t="s">
        <v>33</v>
      </c>
      <c r="AL5" s="68"/>
      <c r="AM5" s="68"/>
    </row>
    <row r="6" spans="1:55" ht="15.6" x14ac:dyDescent="0.3">
      <c r="A6" s="18">
        <v>65</v>
      </c>
      <c r="B6" s="19">
        <v>2</v>
      </c>
      <c r="C6" s="19" t="s">
        <v>82</v>
      </c>
      <c r="D6" s="19" t="s">
        <v>23</v>
      </c>
      <c r="E6" s="19" t="s">
        <v>51</v>
      </c>
      <c r="F6" s="31" t="s">
        <v>151</v>
      </c>
      <c r="G6" s="19" t="s">
        <v>47</v>
      </c>
      <c r="H6" s="20" t="s">
        <v>25</v>
      </c>
      <c r="I6" s="21"/>
      <c r="J6" s="22"/>
      <c r="K6" s="23">
        <f>Twirling_Solo_SoloDance_Cadet_Beginner[[#This Row],[Judge 1
Tamara Beljak]]-J6</f>
        <v>0</v>
      </c>
      <c r="L6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6" s="21"/>
      <c r="N6" s="22"/>
      <c r="O6" s="23">
        <f>Twirling_Solo_SoloDance_Cadet_Beginner[[#This Row],[Judge 2
Tihomir Bendelja]]-Twirling_Solo_SoloDance_Cadet_Beginner[[#This Row],[J2 (-)]]</f>
        <v>0</v>
      </c>
      <c r="P6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6" s="21"/>
      <c r="R6" s="22"/>
      <c r="S6" s="23">
        <f>Twirling_Solo_SoloDance_Cadet_Beginner[[#This Row],[Judge 3
Tea Softić]]-R6</f>
        <v>0</v>
      </c>
      <c r="T6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6" s="21">
        <v>11</v>
      </c>
      <c r="V6" s="22">
        <v>1</v>
      </c>
      <c r="W6" s="23">
        <f>Twirling_Solo_SoloDance_Cadet_Beginner[[#This Row],[Judge 4
Bernard Barač]]-V6</f>
        <v>10</v>
      </c>
      <c r="X6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5</v>
      </c>
      <c r="Y6" s="21">
        <v>10.95</v>
      </c>
      <c r="Z6" s="22">
        <v>1</v>
      </c>
      <c r="AA6" s="23">
        <f>Twirling_Solo_SoloDance_Cadet_Beginner[[#This Row],[Judge 5
Barbara Novina]]-Z6</f>
        <v>9.9499999999999993</v>
      </c>
      <c r="AB6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4</v>
      </c>
      <c r="AC6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19.95</v>
      </c>
      <c r="AD6" s="25"/>
      <c r="AE6" s="25"/>
      <c r="AF6" s="25">
        <f>SUM(Twirling_Solo_SoloDance_Cadet_Beginner[[#This Row],[Total]]-Twirling_Solo_SoloDance_Cadet_Beginner[[#This Row],[Low]]-Twirling_Solo_SoloDance_Cadet_Beginner[[#This Row],[High]])</f>
        <v>19.95</v>
      </c>
      <c r="AG6" s="25">
        <f t="shared" si="0"/>
        <v>10.975</v>
      </c>
      <c r="AH6" s="26">
        <f>Twirling_Solo_SoloDance_Cadet_Beginner[[#This Row],[Final Total]]</f>
        <v>19.95</v>
      </c>
      <c r="AI6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5</v>
      </c>
      <c r="AJ6" s="18" t="s">
        <v>33</v>
      </c>
      <c r="AL6" s="68"/>
      <c r="AM6" s="68"/>
    </row>
    <row r="7" spans="1:55" ht="15.6" x14ac:dyDescent="0.3">
      <c r="A7" s="18">
        <v>85</v>
      </c>
      <c r="B7" s="19">
        <v>2</v>
      </c>
      <c r="C7" s="19" t="s">
        <v>82</v>
      </c>
      <c r="D7" s="19" t="s">
        <v>23</v>
      </c>
      <c r="E7" s="19" t="s">
        <v>51</v>
      </c>
      <c r="F7" s="31" t="s">
        <v>88</v>
      </c>
      <c r="G7" s="19" t="s">
        <v>63</v>
      </c>
      <c r="H7" s="20" t="s">
        <v>25</v>
      </c>
      <c r="I7" s="21"/>
      <c r="J7" s="22"/>
      <c r="K7" s="23">
        <f>Twirling_Solo_SoloDance_Cadet_Beginner[[#This Row],[Judge 1
Tamara Beljak]]-J7</f>
        <v>0</v>
      </c>
      <c r="L7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7" s="21"/>
      <c r="N7" s="22"/>
      <c r="O7" s="23">
        <f>Twirling_Solo_SoloDance_Cadet_Beginner[[#This Row],[Judge 2
Tihomir Bendelja]]-Twirling_Solo_SoloDance_Cadet_Beginner[[#This Row],[J2 (-)]]</f>
        <v>0</v>
      </c>
      <c r="P7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7" s="21"/>
      <c r="R7" s="22"/>
      <c r="S7" s="23">
        <f>Twirling_Solo_SoloDance_Cadet_Beginner[[#This Row],[Judge 3
Tea Softić]]-R7</f>
        <v>0</v>
      </c>
      <c r="T7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7" s="21">
        <v>10.4</v>
      </c>
      <c r="V7" s="22">
        <v>0.5</v>
      </c>
      <c r="W7" s="23">
        <f>Twirling_Solo_SoloDance_Cadet_Beginner[[#This Row],[Judge 4
Bernard Barač]]-V7</f>
        <v>9.9</v>
      </c>
      <c r="X7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6</v>
      </c>
      <c r="Y7" s="21">
        <v>10.3</v>
      </c>
      <c r="Z7" s="22">
        <v>0.5</v>
      </c>
      <c r="AA7" s="23">
        <f>Twirling_Solo_SoloDance_Cadet_Beginner[[#This Row],[Judge 5
Barbara Novina]]-Z7</f>
        <v>9.8000000000000007</v>
      </c>
      <c r="AB7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5</v>
      </c>
      <c r="AC7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19.700000000000003</v>
      </c>
      <c r="AD7" s="25"/>
      <c r="AE7" s="25"/>
      <c r="AF7" s="25">
        <f>SUM(Twirling_Solo_SoloDance_Cadet_Beginner[[#This Row],[Total]]-Twirling_Solo_SoloDance_Cadet_Beginner[[#This Row],[Low]]-Twirling_Solo_SoloDance_Cadet_Beginner[[#This Row],[High]])</f>
        <v>19.700000000000003</v>
      </c>
      <c r="AG7" s="25">
        <f t="shared" si="0"/>
        <v>10.350000000000001</v>
      </c>
      <c r="AH7" s="26">
        <f>Twirling_Solo_SoloDance_Cadet_Beginner[[#This Row],[Final Total]]</f>
        <v>19.700000000000003</v>
      </c>
      <c r="AI7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6</v>
      </c>
      <c r="AJ7" s="18" t="s">
        <v>33</v>
      </c>
      <c r="AL7" s="68"/>
      <c r="AM7" s="68"/>
    </row>
    <row r="8" spans="1:55" ht="15.6" x14ac:dyDescent="0.3">
      <c r="A8" s="18">
        <v>51</v>
      </c>
      <c r="B8" s="19">
        <v>2</v>
      </c>
      <c r="C8" s="19" t="s">
        <v>82</v>
      </c>
      <c r="D8" s="19" t="s">
        <v>23</v>
      </c>
      <c r="E8" s="19" t="s">
        <v>51</v>
      </c>
      <c r="F8" s="31" t="s">
        <v>102</v>
      </c>
      <c r="G8" s="19" t="s">
        <v>86</v>
      </c>
      <c r="H8" s="20" t="s">
        <v>25</v>
      </c>
      <c r="I8" s="21"/>
      <c r="J8" s="22"/>
      <c r="K8" s="23">
        <f>Twirling_Solo_SoloDance_Cadet_Beginner[[#This Row],[Judge 1
Tamara Beljak]]-J8</f>
        <v>0</v>
      </c>
      <c r="L8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8" s="21"/>
      <c r="N8" s="22"/>
      <c r="O8" s="23">
        <f>Twirling_Solo_SoloDance_Cadet_Beginner[[#This Row],[Judge 2
Tihomir Bendelja]]-Twirling_Solo_SoloDance_Cadet_Beginner[[#This Row],[J2 (-)]]</f>
        <v>0</v>
      </c>
      <c r="P8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8" s="21"/>
      <c r="R8" s="22"/>
      <c r="S8" s="23">
        <f>Twirling_Solo_SoloDance_Cadet_Beginner[[#This Row],[Judge 3
Tea Softić]]-R8</f>
        <v>0</v>
      </c>
      <c r="T8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8" s="21">
        <v>10.199999999999999</v>
      </c>
      <c r="V8" s="22">
        <v>0.5</v>
      </c>
      <c r="W8" s="23">
        <f>Twirling_Solo_SoloDance_Cadet_Beginner[[#This Row],[Judge 4
Bernard Barač]]-V8</f>
        <v>9.6999999999999993</v>
      </c>
      <c r="X8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8</v>
      </c>
      <c r="Y8" s="21">
        <v>9.9</v>
      </c>
      <c r="Z8" s="22">
        <v>0.5</v>
      </c>
      <c r="AA8" s="23">
        <f>Twirling_Solo_SoloDance_Cadet_Beginner[[#This Row],[Judge 5
Barbara Novina]]-Z8</f>
        <v>9.4</v>
      </c>
      <c r="AB8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7</v>
      </c>
      <c r="AC8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19.100000000000001</v>
      </c>
      <c r="AD8" s="25"/>
      <c r="AE8" s="25"/>
      <c r="AF8" s="25">
        <f>SUM(Twirling_Solo_SoloDance_Cadet_Beginner[[#This Row],[Total]]-Twirling_Solo_SoloDance_Cadet_Beginner[[#This Row],[Low]]-Twirling_Solo_SoloDance_Cadet_Beginner[[#This Row],[High]])</f>
        <v>19.100000000000001</v>
      </c>
      <c r="AG8" s="25">
        <f t="shared" si="0"/>
        <v>10.050000000000001</v>
      </c>
      <c r="AH8" s="26">
        <f>Twirling_Solo_SoloDance_Cadet_Beginner[[#This Row],[Final Total]]</f>
        <v>19.100000000000001</v>
      </c>
      <c r="AI8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7</v>
      </c>
      <c r="AJ8" s="18" t="s">
        <v>33</v>
      </c>
      <c r="AL8" s="68"/>
      <c r="AM8" s="68"/>
    </row>
    <row r="9" spans="1:55" ht="15.6" x14ac:dyDescent="0.3">
      <c r="A9" s="18">
        <v>79</v>
      </c>
      <c r="B9" s="19">
        <v>2</v>
      </c>
      <c r="C9" s="19" t="s">
        <v>82</v>
      </c>
      <c r="D9" s="19" t="s">
        <v>23</v>
      </c>
      <c r="E9" s="19" t="s">
        <v>51</v>
      </c>
      <c r="F9" s="31" t="s">
        <v>83</v>
      </c>
      <c r="G9" s="19" t="s">
        <v>63</v>
      </c>
      <c r="H9" s="20" t="s">
        <v>25</v>
      </c>
      <c r="I9" s="21"/>
      <c r="J9" s="22"/>
      <c r="K9" s="23">
        <f>Twirling_Solo_SoloDance_Cadet_Beginner[[#This Row],[Judge 1
Tamara Beljak]]-J9</f>
        <v>0</v>
      </c>
      <c r="L9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9" s="21"/>
      <c r="N9" s="22"/>
      <c r="O9" s="23">
        <f>Twirling_Solo_SoloDance_Cadet_Beginner[[#This Row],[Judge 2
Tihomir Bendelja]]-Twirling_Solo_SoloDance_Cadet_Beginner[[#This Row],[J2 (-)]]</f>
        <v>0</v>
      </c>
      <c r="P9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9" s="21"/>
      <c r="R9" s="22"/>
      <c r="S9" s="23">
        <f>Twirling_Solo_SoloDance_Cadet_Beginner[[#This Row],[Judge 3
Tea Softić]]-R9</f>
        <v>0</v>
      </c>
      <c r="T9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9" s="21">
        <v>9.8000000000000007</v>
      </c>
      <c r="V9" s="22">
        <v>0</v>
      </c>
      <c r="W9" s="23">
        <f>Twirling_Solo_SoloDance_Cadet_Beginner[[#This Row],[Judge 4
Bernard Barač]]-V9</f>
        <v>9.8000000000000007</v>
      </c>
      <c r="X9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7</v>
      </c>
      <c r="Y9" s="21">
        <v>9.1999999999999993</v>
      </c>
      <c r="Z9" s="22">
        <v>0</v>
      </c>
      <c r="AA9" s="23">
        <f>Twirling_Solo_SoloDance_Cadet_Beginner[[#This Row],[Judge 5
Barbara Novina]]-Z9</f>
        <v>9.1999999999999993</v>
      </c>
      <c r="AB9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8</v>
      </c>
      <c r="AC9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19</v>
      </c>
      <c r="AD9" s="25"/>
      <c r="AE9" s="25"/>
      <c r="AF9" s="25">
        <f>SUM(Twirling_Solo_SoloDance_Cadet_Beginner[[#This Row],[Total]]-Twirling_Solo_SoloDance_Cadet_Beginner[[#This Row],[Low]]-Twirling_Solo_SoloDance_Cadet_Beginner[[#This Row],[High]])</f>
        <v>19</v>
      </c>
      <c r="AG9" s="25">
        <f t="shared" si="0"/>
        <v>9.5</v>
      </c>
      <c r="AH9" s="26">
        <f>Twirling_Solo_SoloDance_Cadet_Beginner[[#This Row],[Final Total]]</f>
        <v>19</v>
      </c>
      <c r="AI9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8</v>
      </c>
      <c r="AJ9" s="18" t="s">
        <v>33</v>
      </c>
      <c r="AL9" s="68"/>
      <c r="AM9" s="68"/>
    </row>
    <row r="10" spans="1:55" ht="15.6" x14ac:dyDescent="0.3">
      <c r="A10" s="18">
        <v>55</v>
      </c>
      <c r="B10" s="19">
        <v>2</v>
      </c>
      <c r="C10" s="19" t="s">
        <v>82</v>
      </c>
      <c r="D10" s="19" t="s">
        <v>23</v>
      </c>
      <c r="E10" s="19" t="s">
        <v>51</v>
      </c>
      <c r="F10" s="31" t="s">
        <v>93</v>
      </c>
      <c r="G10" s="19" t="s">
        <v>45</v>
      </c>
      <c r="H10" s="20" t="s">
        <v>25</v>
      </c>
      <c r="I10" s="21"/>
      <c r="J10" s="22"/>
      <c r="K10" s="23">
        <f>Twirling_Solo_SoloDance_Cadet_Beginner[[#This Row],[Judge 1
Tamara Beljak]]-J10</f>
        <v>0</v>
      </c>
      <c r="L10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10" s="21"/>
      <c r="N10" s="22"/>
      <c r="O10" s="23">
        <f>Twirling_Solo_SoloDance_Cadet_Beginner[[#This Row],[Judge 2
Tihomir Bendelja]]-Twirling_Solo_SoloDance_Cadet_Beginner[[#This Row],[J2 (-)]]</f>
        <v>0</v>
      </c>
      <c r="P10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10" s="21"/>
      <c r="R10" s="22"/>
      <c r="S10" s="23">
        <f>Twirling_Solo_SoloDance_Cadet_Beginner[[#This Row],[Judge 3
Tea Softić]]-R10</f>
        <v>0</v>
      </c>
      <c r="T10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10" s="21">
        <v>9.6</v>
      </c>
      <c r="V10" s="22">
        <v>0.5</v>
      </c>
      <c r="W10" s="23">
        <f>Twirling_Solo_SoloDance_Cadet_Beginner[[#This Row],[Judge 4
Bernard Barač]]-V10</f>
        <v>9.1</v>
      </c>
      <c r="X10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10</v>
      </c>
      <c r="Y10" s="21">
        <v>9.5</v>
      </c>
      <c r="Z10" s="22">
        <v>0.5</v>
      </c>
      <c r="AA10" s="23">
        <f>Twirling_Solo_SoloDance_Cadet_Beginner[[#This Row],[Judge 5
Barbara Novina]]-Z10</f>
        <v>9</v>
      </c>
      <c r="AB10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9</v>
      </c>
      <c r="AC10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18.100000000000001</v>
      </c>
      <c r="AD10" s="25"/>
      <c r="AE10" s="25"/>
      <c r="AF10" s="25">
        <f>SUM(Twirling_Solo_SoloDance_Cadet_Beginner[[#This Row],[Total]]-Twirling_Solo_SoloDance_Cadet_Beginner[[#This Row],[Low]]-Twirling_Solo_SoloDance_Cadet_Beginner[[#This Row],[High]])</f>
        <v>18.100000000000001</v>
      </c>
      <c r="AG10" s="25">
        <f t="shared" si="0"/>
        <v>9.5500000000000007</v>
      </c>
      <c r="AH10" s="26">
        <f>Twirling_Solo_SoloDance_Cadet_Beginner[[#This Row],[Final Total]]</f>
        <v>18.100000000000001</v>
      </c>
      <c r="AI10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9</v>
      </c>
      <c r="AJ10" s="18" t="s">
        <v>33</v>
      </c>
      <c r="AL10" s="68"/>
      <c r="AM10" s="68"/>
    </row>
    <row r="11" spans="1:55" ht="15.6" x14ac:dyDescent="0.3">
      <c r="A11" s="18">
        <v>59</v>
      </c>
      <c r="B11" s="19">
        <v>2</v>
      </c>
      <c r="C11" s="19" t="s">
        <v>82</v>
      </c>
      <c r="D11" s="19" t="s">
        <v>23</v>
      </c>
      <c r="E11" s="19" t="s">
        <v>51</v>
      </c>
      <c r="F11" s="31" t="s">
        <v>148</v>
      </c>
      <c r="G11" s="19" t="s">
        <v>63</v>
      </c>
      <c r="H11" s="20" t="s">
        <v>25</v>
      </c>
      <c r="I11" s="21"/>
      <c r="J11" s="22"/>
      <c r="K11" s="23">
        <f>Twirling_Solo_SoloDance_Cadet_Beginner[[#This Row],[Judge 1
Tamara Beljak]]-J11</f>
        <v>0</v>
      </c>
      <c r="L11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11" s="21"/>
      <c r="N11" s="22"/>
      <c r="O11" s="23">
        <f>Twirling_Solo_SoloDance_Cadet_Beginner[[#This Row],[Judge 2
Tihomir Bendelja]]-Twirling_Solo_SoloDance_Cadet_Beginner[[#This Row],[J2 (-)]]</f>
        <v>0</v>
      </c>
      <c r="P11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11" s="21"/>
      <c r="R11" s="22"/>
      <c r="S11" s="23">
        <f>Twirling_Solo_SoloDance_Cadet_Beginner[[#This Row],[Judge 3
Tea Softić]]-R11</f>
        <v>0</v>
      </c>
      <c r="T11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11" s="21">
        <v>9</v>
      </c>
      <c r="V11" s="22">
        <v>0</v>
      </c>
      <c r="W11" s="23">
        <f>Twirling_Solo_SoloDance_Cadet_Beginner[[#This Row],[Judge 4
Bernard Barač]]-V11</f>
        <v>9</v>
      </c>
      <c r="X11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11</v>
      </c>
      <c r="Y11" s="21">
        <v>8.6999999999999993</v>
      </c>
      <c r="Z11" s="22">
        <v>0</v>
      </c>
      <c r="AA11" s="23">
        <f>Twirling_Solo_SoloDance_Cadet_Beginner[[#This Row],[Judge 5
Barbara Novina]]-Z11</f>
        <v>8.6999999999999993</v>
      </c>
      <c r="AB11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10</v>
      </c>
      <c r="AC11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17.7</v>
      </c>
      <c r="AD11" s="25"/>
      <c r="AE11" s="25"/>
      <c r="AF11" s="25">
        <f>SUM(Twirling_Solo_SoloDance_Cadet_Beginner[[#This Row],[Total]]-Twirling_Solo_SoloDance_Cadet_Beginner[[#This Row],[Low]]-Twirling_Solo_SoloDance_Cadet_Beginner[[#This Row],[High]])</f>
        <v>17.7</v>
      </c>
      <c r="AG11" s="25">
        <f t="shared" si="0"/>
        <v>8.85</v>
      </c>
      <c r="AH11" s="26">
        <f>Twirling_Solo_SoloDance_Cadet_Beginner[[#This Row],[Final Total]]</f>
        <v>17.7</v>
      </c>
      <c r="AI11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10</v>
      </c>
      <c r="AJ11" s="18" t="s">
        <v>33</v>
      </c>
      <c r="AL11" s="68"/>
      <c r="AM11" s="68"/>
    </row>
    <row r="12" spans="1:55" ht="15.6" x14ac:dyDescent="0.3">
      <c r="A12" s="18">
        <v>86</v>
      </c>
      <c r="B12" s="19">
        <v>2</v>
      </c>
      <c r="C12" s="19" t="s">
        <v>82</v>
      </c>
      <c r="D12" s="19" t="s">
        <v>23</v>
      </c>
      <c r="E12" s="19" t="s">
        <v>51</v>
      </c>
      <c r="F12" s="31" t="s">
        <v>104</v>
      </c>
      <c r="G12" s="19" t="s">
        <v>45</v>
      </c>
      <c r="H12" s="20" t="s">
        <v>25</v>
      </c>
      <c r="I12" s="21"/>
      <c r="J12" s="22"/>
      <c r="K12" s="23">
        <f>Twirling_Solo_SoloDance_Cadet_Beginner[[#This Row],[Judge 1
Tamara Beljak]]-J12</f>
        <v>0</v>
      </c>
      <c r="L12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12" s="21"/>
      <c r="N12" s="22"/>
      <c r="O12" s="23">
        <f>Twirling_Solo_SoloDance_Cadet_Beginner[[#This Row],[Judge 2
Tihomir Bendelja]]-Twirling_Solo_SoloDance_Cadet_Beginner[[#This Row],[J2 (-)]]</f>
        <v>0</v>
      </c>
      <c r="P12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12" s="21"/>
      <c r="R12" s="22"/>
      <c r="S12" s="23">
        <f>Twirling_Solo_SoloDance_Cadet_Beginner[[#This Row],[Judge 3
Tea Softić]]-R12</f>
        <v>0</v>
      </c>
      <c r="T12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12" s="21">
        <v>9.1999999999999993</v>
      </c>
      <c r="V12" s="22">
        <v>0</v>
      </c>
      <c r="W12" s="23">
        <f>Twirling_Solo_SoloDance_Cadet_Beginner[[#This Row],[Judge 4
Bernard Barač]]-V12</f>
        <v>9.1999999999999993</v>
      </c>
      <c r="X12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9</v>
      </c>
      <c r="Y12" s="21">
        <v>8.5</v>
      </c>
      <c r="Z12" s="22">
        <v>0</v>
      </c>
      <c r="AA12" s="23">
        <f>Twirling_Solo_SoloDance_Cadet_Beginner[[#This Row],[Judge 5
Barbara Novina]]-Z12</f>
        <v>8.5</v>
      </c>
      <c r="AB12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11</v>
      </c>
      <c r="AC12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17.7</v>
      </c>
      <c r="AD12" s="25"/>
      <c r="AE12" s="25"/>
      <c r="AF12" s="25">
        <f>SUM(Twirling_Solo_SoloDance_Cadet_Beginner[[#This Row],[Total]]-Twirling_Solo_SoloDance_Cadet_Beginner[[#This Row],[Low]]-Twirling_Solo_SoloDance_Cadet_Beginner[[#This Row],[High]])</f>
        <v>17.7</v>
      </c>
      <c r="AG12" s="25">
        <f t="shared" si="0"/>
        <v>8.85</v>
      </c>
      <c r="AH12" s="26">
        <f>Twirling_Solo_SoloDance_Cadet_Beginner[[#This Row],[Final Total]]</f>
        <v>17.7</v>
      </c>
      <c r="AI12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10</v>
      </c>
      <c r="AJ12" s="18" t="s">
        <v>33</v>
      </c>
      <c r="AL12" s="68"/>
      <c r="AM12" s="68"/>
    </row>
    <row r="13" spans="1:55" ht="15.6" x14ac:dyDescent="0.3">
      <c r="A13" s="18">
        <v>83</v>
      </c>
      <c r="B13" s="19">
        <v>2</v>
      </c>
      <c r="C13" s="19" t="s">
        <v>82</v>
      </c>
      <c r="D13" s="19" t="s">
        <v>23</v>
      </c>
      <c r="E13" s="19" t="s">
        <v>51</v>
      </c>
      <c r="F13" s="31" t="s">
        <v>156</v>
      </c>
      <c r="G13" s="19" t="s">
        <v>47</v>
      </c>
      <c r="H13" s="20" t="s">
        <v>25</v>
      </c>
      <c r="I13" s="21"/>
      <c r="J13" s="22"/>
      <c r="K13" s="23">
        <f>Twirling_Solo_SoloDance_Cadet_Beginner[[#This Row],[Judge 1
Tamara Beljak]]-J13</f>
        <v>0</v>
      </c>
      <c r="L13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13" s="21"/>
      <c r="N13" s="22"/>
      <c r="O13" s="23">
        <f>Twirling_Solo_SoloDance_Cadet_Beginner[[#This Row],[Judge 2
Tihomir Bendelja]]-Twirling_Solo_SoloDance_Cadet_Beginner[[#This Row],[J2 (-)]]</f>
        <v>0</v>
      </c>
      <c r="P13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13" s="21"/>
      <c r="R13" s="22"/>
      <c r="S13" s="23">
        <f>Twirling_Solo_SoloDance_Cadet_Beginner[[#This Row],[Judge 3
Tea Softić]]-R13</f>
        <v>0</v>
      </c>
      <c r="T13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13" s="21">
        <v>9.5</v>
      </c>
      <c r="V13" s="22">
        <v>0.5</v>
      </c>
      <c r="W13" s="23">
        <f>Twirling_Solo_SoloDance_Cadet_Beginner[[#This Row],[Judge 4
Bernard Barač]]-V13</f>
        <v>9</v>
      </c>
      <c r="X13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11</v>
      </c>
      <c r="Y13" s="21">
        <v>8.75</v>
      </c>
      <c r="Z13" s="22">
        <v>0.5</v>
      </c>
      <c r="AA13" s="23">
        <f>Twirling_Solo_SoloDance_Cadet_Beginner[[#This Row],[Judge 5
Barbara Novina]]-Z13</f>
        <v>8.25</v>
      </c>
      <c r="AB13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12</v>
      </c>
      <c r="AC13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17.25</v>
      </c>
      <c r="AD13" s="25"/>
      <c r="AE13" s="25"/>
      <c r="AF13" s="25">
        <f>SUM(Twirling_Solo_SoloDance_Cadet_Beginner[[#This Row],[Total]]-Twirling_Solo_SoloDance_Cadet_Beginner[[#This Row],[Low]]-Twirling_Solo_SoloDance_Cadet_Beginner[[#This Row],[High]])</f>
        <v>17.25</v>
      </c>
      <c r="AG13" s="25">
        <f t="shared" si="0"/>
        <v>9.125</v>
      </c>
      <c r="AH13" s="26">
        <f>Twirling_Solo_SoloDance_Cadet_Beginner[[#This Row],[Final Total]]</f>
        <v>17.25</v>
      </c>
      <c r="AI13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12</v>
      </c>
      <c r="AJ13" s="18" t="s">
        <v>33</v>
      </c>
      <c r="AL13" s="68"/>
      <c r="AM13" s="68"/>
    </row>
    <row r="14" spans="1:55" ht="15.6" x14ac:dyDescent="0.3">
      <c r="A14" s="18">
        <v>77</v>
      </c>
      <c r="B14" s="19">
        <v>2</v>
      </c>
      <c r="C14" s="19" t="s">
        <v>82</v>
      </c>
      <c r="D14" s="19" t="s">
        <v>23</v>
      </c>
      <c r="E14" s="19" t="s">
        <v>51</v>
      </c>
      <c r="F14" s="31" t="s">
        <v>154</v>
      </c>
      <c r="G14" s="19" t="s">
        <v>63</v>
      </c>
      <c r="H14" s="20" t="s">
        <v>25</v>
      </c>
      <c r="I14" s="21"/>
      <c r="J14" s="22"/>
      <c r="K14" s="23">
        <f>Twirling_Solo_SoloDance_Cadet_Beginner[[#This Row],[Judge 1
Tamara Beljak]]-J14</f>
        <v>0</v>
      </c>
      <c r="L14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14" s="21"/>
      <c r="N14" s="22"/>
      <c r="O14" s="23">
        <f>Twirling_Solo_SoloDance_Cadet_Beginner[[#This Row],[Judge 2
Tihomir Bendelja]]-Twirling_Solo_SoloDance_Cadet_Beginner[[#This Row],[J2 (-)]]</f>
        <v>0</v>
      </c>
      <c r="P14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14" s="21"/>
      <c r="R14" s="22"/>
      <c r="S14" s="23">
        <f>Twirling_Solo_SoloDance_Cadet_Beginner[[#This Row],[Judge 3
Tea Softić]]-R14</f>
        <v>0</v>
      </c>
      <c r="T14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14" s="21">
        <v>9.4</v>
      </c>
      <c r="V14" s="22">
        <v>0.5</v>
      </c>
      <c r="W14" s="23">
        <f>Twirling_Solo_SoloDance_Cadet_Beginner[[#This Row],[Judge 4
Bernard Barač]]-V14</f>
        <v>8.9</v>
      </c>
      <c r="X14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13</v>
      </c>
      <c r="Y14" s="21">
        <v>8.35</v>
      </c>
      <c r="Z14" s="22">
        <v>0.5</v>
      </c>
      <c r="AA14" s="23">
        <f>Twirling_Solo_SoloDance_Cadet_Beginner[[#This Row],[Judge 5
Barbara Novina]]-Z14</f>
        <v>7.85</v>
      </c>
      <c r="AB14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13</v>
      </c>
      <c r="AC14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16.75</v>
      </c>
      <c r="AD14" s="25"/>
      <c r="AE14" s="25"/>
      <c r="AF14" s="25">
        <f>SUM(Twirling_Solo_SoloDance_Cadet_Beginner[[#This Row],[Total]]-Twirling_Solo_SoloDance_Cadet_Beginner[[#This Row],[Low]]-Twirling_Solo_SoloDance_Cadet_Beginner[[#This Row],[High]])</f>
        <v>16.75</v>
      </c>
      <c r="AG14" s="25">
        <f t="shared" si="0"/>
        <v>8.875</v>
      </c>
      <c r="AH14" s="26">
        <f>Twirling_Solo_SoloDance_Cadet_Beginner[[#This Row],[Final Total]]</f>
        <v>16.75</v>
      </c>
      <c r="AI14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13</v>
      </c>
      <c r="AJ14" s="18" t="s">
        <v>33</v>
      </c>
      <c r="AL14" s="68"/>
      <c r="AM14" s="68"/>
    </row>
    <row r="15" spans="1:55" ht="15.6" x14ac:dyDescent="0.3">
      <c r="A15" s="18">
        <v>63</v>
      </c>
      <c r="B15" s="19">
        <v>2</v>
      </c>
      <c r="C15" s="19" t="s">
        <v>82</v>
      </c>
      <c r="D15" s="19" t="s">
        <v>23</v>
      </c>
      <c r="E15" s="19" t="s">
        <v>51</v>
      </c>
      <c r="F15" s="31" t="s">
        <v>150</v>
      </c>
      <c r="G15" s="19" t="s">
        <v>45</v>
      </c>
      <c r="H15" s="20" t="s">
        <v>25</v>
      </c>
      <c r="I15" s="21"/>
      <c r="J15" s="22"/>
      <c r="K15" s="23">
        <f>Twirling_Solo_SoloDance_Cadet_Beginner[[#This Row],[Judge 1
Tamara Beljak]]-J15</f>
        <v>0</v>
      </c>
      <c r="L15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15" s="21"/>
      <c r="N15" s="22"/>
      <c r="O15" s="23">
        <f>Twirling_Solo_SoloDance_Cadet_Beginner[[#This Row],[Judge 2
Tihomir Bendelja]]-Twirling_Solo_SoloDance_Cadet_Beginner[[#This Row],[J2 (-)]]</f>
        <v>0</v>
      </c>
      <c r="P15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15" s="21"/>
      <c r="R15" s="22"/>
      <c r="S15" s="23">
        <f>Twirling_Solo_SoloDance_Cadet_Beginner[[#This Row],[Judge 3
Tea Softić]]-R15</f>
        <v>0</v>
      </c>
      <c r="T15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15" s="21">
        <v>9.3000000000000007</v>
      </c>
      <c r="V15" s="22">
        <v>0.5</v>
      </c>
      <c r="W15" s="23">
        <f>Twirling_Solo_SoloDance_Cadet_Beginner[[#This Row],[Judge 4
Bernard Barač]]-V15</f>
        <v>8.8000000000000007</v>
      </c>
      <c r="X15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14</v>
      </c>
      <c r="Y15" s="21">
        <v>8.3000000000000007</v>
      </c>
      <c r="Z15" s="22">
        <v>0.5</v>
      </c>
      <c r="AA15" s="23">
        <f>Twirling_Solo_SoloDance_Cadet_Beginner[[#This Row],[Judge 5
Barbara Novina]]-Z15</f>
        <v>7.8000000000000007</v>
      </c>
      <c r="AB15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14</v>
      </c>
      <c r="AC15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16.600000000000001</v>
      </c>
      <c r="AD15" s="25"/>
      <c r="AE15" s="25"/>
      <c r="AF15" s="25">
        <f>SUM(Twirling_Solo_SoloDance_Cadet_Beginner[[#This Row],[Total]]-Twirling_Solo_SoloDance_Cadet_Beginner[[#This Row],[Low]]-Twirling_Solo_SoloDance_Cadet_Beginner[[#This Row],[High]])</f>
        <v>16.600000000000001</v>
      </c>
      <c r="AG15" s="25">
        <f t="shared" si="0"/>
        <v>8.8000000000000007</v>
      </c>
      <c r="AH15" s="26">
        <f>Twirling_Solo_SoloDance_Cadet_Beginner[[#This Row],[Final Total]]</f>
        <v>16.600000000000001</v>
      </c>
      <c r="AI15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14</v>
      </c>
      <c r="AJ15" s="18" t="s">
        <v>33</v>
      </c>
      <c r="AL15" s="68"/>
      <c r="AM15" s="68"/>
    </row>
    <row r="16" spans="1:55" ht="15.6" x14ac:dyDescent="0.3">
      <c r="A16" s="18">
        <v>81</v>
      </c>
      <c r="B16" s="19">
        <v>2</v>
      </c>
      <c r="C16" s="19" t="s">
        <v>82</v>
      </c>
      <c r="D16" s="19" t="s">
        <v>23</v>
      </c>
      <c r="E16" s="19" t="s">
        <v>51</v>
      </c>
      <c r="F16" s="31" t="s">
        <v>155</v>
      </c>
      <c r="G16" s="19" t="s">
        <v>32</v>
      </c>
      <c r="H16" s="20" t="s">
        <v>25</v>
      </c>
      <c r="I16" s="21"/>
      <c r="J16" s="22"/>
      <c r="K16" s="23">
        <f>Twirling_Solo_SoloDance_Cadet_Beginner[[#This Row],[Judge 1
Tamara Beljak]]-J16</f>
        <v>0</v>
      </c>
      <c r="L16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16" s="21"/>
      <c r="N16" s="22"/>
      <c r="O16" s="23">
        <f>Twirling_Solo_SoloDance_Cadet_Beginner[[#This Row],[Judge 2
Tihomir Bendelja]]-Twirling_Solo_SoloDance_Cadet_Beginner[[#This Row],[J2 (-)]]</f>
        <v>0</v>
      </c>
      <c r="P16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16" s="21"/>
      <c r="R16" s="22"/>
      <c r="S16" s="23">
        <f>Twirling_Solo_SoloDance_Cadet_Beginner[[#This Row],[Judge 3
Tea Softić]]-R16</f>
        <v>0</v>
      </c>
      <c r="T16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16" s="21">
        <v>9.1</v>
      </c>
      <c r="V16" s="22">
        <v>0.5</v>
      </c>
      <c r="W16" s="23">
        <f>Twirling_Solo_SoloDance_Cadet_Beginner[[#This Row],[Judge 4
Bernard Barač]]-V16</f>
        <v>8.6</v>
      </c>
      <c r="X16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15</v>
      </c>
      <c r="Y16" s="21">
        <v>7.75</v>
      </c>
      <c r="Z16" s="22">
        <v>0.5</v>
      </c>
      <c r="AA16" s="23">
        <f>Twirling_Solo_SoloDance_Cadet_Beginner[[#This Row],[Judge 5
Barbara Novina]]-Z16</f>
        <v>7.25</v>
      </c>
      <c r="AB16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16</v>
      </c>
      <c r="AC16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15.85</v>
      </c>
      <c r="AD16" s="25"/>
      <c r="AE16" s="25"/>
      <c r="AF16" s="25">
        <f>SUM(Twirling_Solo_SoloDance_Cadet_Beginner[[#This Row],[Total]]-Twirling_Solo_SoloDance_Cadet_Beginner[[#This Row],[Low]]-Twirling_Solo_SoloDance_Cadet_Beginner[[#This Row],[High]])</f>
        <v>15.85</v>
      </c>
      <c r="AG16" s="25">
        <f t="shared" si="0"/>
        <v>8.4250000000000007</v>
      </c>
      <c r="AH16" s="26">
        <f>Twirling_Solo_SoloDance_Cadet_Beginner[[#This Row],[Final Total]]</f>
        <v>15.85</v>
      </c>
      <c r="AI16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15</v>
      </c>
      <c r="AJ16" s="18" t="s">
        <v>33</v>
      </c>
      <c r="AL16" s="68"/>
      <c r="AM16" s="68"/>
    </row>
    <row r="17" spans="1:39" ht="15.6" x14ac:dyDescent="0.3">
      <c r="A17" s="18">
        <v>67</v>
      </c>
      <c r="B17" s="19">
        <v>2</v>
      </c>
      <c r="C17" s="19" t="s">
        <v>82</v>
      </c>
      <c r="D17" s="19" t="s">
        <v>23</v>
      </c>
      <c r="E17" s="19" t="s">
        <v>51</v>
      </c>
      <c r="F17" s="31" t="s">
        <v>92</v>
      </c>
      <c r="G17" s="19" t="s">
        <v>63</v>
      </c>
      <c r="H17" s="20" t="s">
        <v>25</v>
      </c>
      <c r="I17" s="21"/>
      <c r="J17" s="22"/>
      <c r="K17" s="23">
        <f>Twirling_Solo_SoloDance_Cadet_Beginner[[#This Row],[Judge 1
Tamara Beljak]]-J17</f>
        <v>0</v>
      </c>
      <c r="L17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17" s="21"/>
      <c r="N17" s="22"/>
      <c r="O17" s="23">
        <f>Twirling_Solo_SoloDance_Cadet_Beginner[[#This Row],[Judge 2
Tihomir Bendelja]]-Twirling_Solo_SoloDance_Cadet_Beginner[[#This Row],[J2 (-)]]</f>
        <v>0</v>
      </c>
      <c r="P17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17" s="21"/>
      <c r="R17" s="22"/>
      <c r="S17" s="23">
        <f>Twirling_Solo_SoloDance_Cadet_Beginner[[#This Row],[Judge 3
Tea Softić]]-R17</f>
        <v>0</v>
      </c>
      <c r="T17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17" s="21">
        <v>7.8</v>
      </c>
      <c r="V17" s="22">
        <v>0</v>
      </c>
      <c r="W17" s="23">
        <f>Twirling_Solo_SoloDance_Cadet_Beginner[[#This Row],[Judge 4
Bernard Barač]]-V17</f>
        <v>7.8</v>
      </c>
      <c r="X17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17</v>
      </c>
      <c r="Y17" s="21">
        <v>7.6</v>
      </c>
      <c r="Z17" s="22">
        <v>0</v>
      </c>
      <c r="AA17" s="23">
        <f>Twirling_Solo_SoloDance_Cadet_Beginner[[#This Row],[Judge 5
Barbara Novina]]-Z17</f>
        <v>7.6</v>
      </c>
      <c r="AB17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15</v>
      </c>
      <c r="AC17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15.399999999999999</v>
      </c>
      <c r="AD17" s="25"/>
      <c r="AE17" s="25"/>
      <c r="AF17" s="25">
        <f>SUM(Twirling_Solo_SoloDance_Cadet_Beginner[[#This Row],[Total]]-Twirling_Solo_SoloDance_Cadet_Beginner[[#This Row],[Low]]-Twirling_Solo_SoloDance_Cadet_Beginner[[#This Row],[High]])</f>
        <v>15.399999999999999</v>
      </c>
      <c r="AG17" s="25">
        <f t="shared" si="0"/>
        <v>7.6999999999999993</v>
      </c>
      <c r="AH17" s="26">
        <f>Twirling_Solo_SoloDance_Cadet_Beginner[[#This Row],[Final Total]]</f>
        <v>15.399999999999999</v>
      </c>
      <c r="AI17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16</v>
      </c>
      <c r="AJ17" s="18" t="s">
        <v>33</v>
      </c>
      <c r="AL17" s="68"/>
      <c r="AM17" s="68"/>
    </row>
    <row r="18" spans="1:39" ht="15.6" x14ac:dyDescent="0.3">
      <c r="A18" s="18">
        <v>49</v>
      </c>
      <c r="B18" s="19">
        <v>2</v>
      </c>
      <c r="C18" s="19" t="s">
        <v>82</v>
      </c>
      <c r="D18" s="19" t="s">
        <v>23</v>
      </c>
      <c r="E18" s="19" t="s">
        <v>51</v>
      </c>
      <c r="F18" s="31" t="s">
        <v>101</v>
      </c>
      <c r="G18" s="19" t="s">
        <v>32</v>
      </c>
      <c r="H18" s="20" t="s">
        <v>25</v>
      </c>
      <c r="I18" s="21"/>
      <c r="J18" s="22"/>
      <c r="K18" s="23">
        <f>Twirling_Solo_SoloDance_Cadet_Beginner[[#This Row],[Judge 1
Tamara Beljak]]-J18</f>
        <v>0</v>
      </c>
      <c r="L18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18" s="21"/>
      <c r="N18" s="22"/>
      <c r="O18" s="23">
        <f>Twirling_Solo_SoloDance_Cadet_Beginner[[#This Row],[Judge 2
Tihomir Bendelja]]-Twirling_Solo_SoloDance_Cadet_Beginner[[#This Row],[J2 (-)]]</f>
        <v>0</v>
      </c>
      <c r="P18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18" s="21"/>
      <c r="R18" s="22"/>
      <c r="S18" s="23">
        <f>Twirling_Solo_SoloDance_Cadet_Beginner[[#This Row],[Judge 3
Tea Softić]]-R18</f>
        <v>0</v>
      </c>
      <c r="T18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18" s="21">
        <v>9.4</v>
      </c>
      <c r="V18" s="22">
        <v>1.5</v>
      </c>
      <c r="W18" s="23">
        <f>Twirling_Solo_SoloDance_Cadet_Beginner[[#This Row],[Judge 4
Bernard Barač]]-V18</f>
        <v>7.9</v>
      </c>
      <c r="X18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16</v>
      </c>
      <c r="Y18" s="21">
        <v>8.1999999999999993</v>
      </c>
      <c r="Z18" s="22">
        <v>1.5</v>
      </c>
      <c r="AA18" s="23">
        <f>Twirling_Solo_SoloDance_Cadet_Beginner[[#This Row],[Judge 5
Barbara Novina]]-Z18</f>
        <v>6.6999999999999993</v>
      </c>
      <c r="AB18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17</v>
      </c>
      <c r="AC18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14.6</v>
      </c>
      <c r="AD18" s="25"/>
      <c r="AE18" s="25"/>
      <c r="AF18" s="25">
        <f>SUM(Twirling_Solo_SoloDance_Cadet_Beginner[[#This Row],[Total]]-Twirling_Solo_SoloDance_Cadet_Beginner[[#This Row],[Low]]-Twirling_Solo_SoloDance_Cadet_Beginner[[#This Row],[High]])</f>
        <v>14.6</v>
      </c>
      <c r="AG18" s="25">
        <f t="shared" si="0"/>
        <v>8.8000000000000007</v>
      </c>
      <c r="AH18" s="26">
        <f>Twirling_Solo_SoloDance_Cadet_Beginner[[#This Row],[Final Total]]</f>
        <v>14.6</v>
      </c>
      <c r="AI18" s="27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17</v>
      </c>
      <c r="AJ18" s="18" t="s">
        <v>33</v>
      </c>
      <c r="AL18" s="68"/>
      <c r="AM18" s="68"/>
    </row>
    <row r="19" spans="1:39" ht="15.6" x14ac:dyDescent="0.3">
      <c r="A19" s="18">
        <v>71</v>
      </c>
      <c r="B19" s="19">
        <v>2</v>
      </c>
      <c r="C19" s="19" t="s">
        <v>82</v>
      </c>
      <c r="D19" s="19" t="s">
        <v>23</v>
      </c>
      <c r="E19" s="19" t="s">
        <v>51</v>
      </c>
      <c r="F19" s="31" t="s">
        <v>152</v>
      </c>
      <c r="G19" s="19" t="s">
        <v>49</v>
      </c>
      <c r="H19" s="20" t="s">
        <v>25</v>
      </c>
      <c r="I19" s="21"/>
      <c r="J19" s="22"/>
      <c r="K19" s="23">
        <f>Twirling_Solo_SoloDance_Cadet_Beginner[[#This Row],[Judge 1
Tamara Beljak]]-J19</f>
        <v>0</v>
      </c>
      <c r="L19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19" s="21"/>
      <c r="N19" s="22"/>
      <c r="O19" s="23">
        <f>Twirling_Solo_SoloDance_Cadet_Beginner[[#This Row],[Judge 2
Tihomir Bendelja]]-Twirling_Solo_SoloDance_Cadet_Beginner[[#This Row],[J2 (-)]]</f>
        <v>0</v>
      </c>
      <c r="P19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19" s="21"/>
      <c r="R19" s="22"/>
      <c r="S19" s="23">
        <f>Twirling_Solo_SoloDance_Cadet_Beginner[[#This Row],[Judge 3
Tea Softić]]-R19</f>
        <v>0</v>
      </c>
      <c r="T19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19" s="21">
        <v>7.7</v>
      </c>
      <c r="V19" s="22">
        <v>0</v>
      </c>
      <c r="W19" s="23">
        <f>Twirling_Solo_SoloDance_Cadet_Beginner[[#This Row],[Judge 4
Bernard Barač]]-V19</f>
        <v>7.7</v>
      </c>
      <c r="X19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18</v>
      </c>
      <c r="Y19" s="21">
        <v>6.65</v>
      </c>
      <c r="Z19" s="22">
        <v>0</v>
      </c>
      <c r="AA19" s="23">
        <f>Twirling_Solo_SoloDance_Cadet_Beginner[[#This Row],[Judge 5
Barbara Novina]]-Z19</f>
        <v>6.65</v>
      </c>
      <c r="AB19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18</v>
      </c>
      <c r="AC19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14.350000000000001</v>
      </c>
      <c r="AD19" s="25"/>
      <c r="AE19" s="25"/>
      <c r="AF19" s="25">
        <f>SUM(Twirling_Solo_SoloDance_Cadet_Beginner[[#This Row],[Total]]-Twirling_Solo_SoloDance_Cadet_Beginner[[#This Row],[Low]]-Twirling_Solo_SoloDance_Cadet_Beginner[[#This Row],[High]])</f>
        <v>14.350000000000001</v>
      </c>
      <c r="AG19" s="25">
        <f t="shared" si="0"/>
        <v>7.1750000000000007</v>
      </c>
      <c r="AH19" s="26">
        <f>Twirling_Solo_SoloDance_Cadet_Beginner[[#This Row],[Final Total]]</f>
        <v>14.350000000000001</v>
      </c>
      <c r="AI19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18</v>
      </c>
      <c r="AJ19" s="18" t="s">
        <v>33</v>
      </c>
      <c r="AL19" s="68"/>
      <c r="AM19" s="68"/>
    </row>
    <row r="20" spans="1:39" ht="15.6" x14ac:dyDescent="0.3">
      <c r="A20" s="18">
        <v>75</v>
      </c>
      <c r="B20" s="19">
        <v>2</v>
      </c>
      <c r="C20" s="19" t="s">
        <v>82</v>
      </c>
      <c r="D20" s="19" t="s">
        <v>23</v>
      </c>
      <c r="E20" s="19" t="s">
        <v>51</v>
      </c>
      <c r="F20" s="31" t="s">
        <v>153</v>
      </c>
      <c r="G20" s="19" t="s">
        <v>45</v>
      </c>
      <c r="H20" s="20" t="s">
        <v>25</v>
      </c>
      <c r="I20" s="21"/>
      <c r="J20" s="22"/>
      <c r="K20" s="23">
        <f>Twirling_Solo_SoloDance_Cadet_Beginner[[#This Row],[Judge 1
Tamara Beljak]]-J20</f>
        <v>0</v>
      </c>
      <c r="L20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20" s="21"/>
      <c r="N20" s="22"/>
      <c r="O20" s="23">
        <f>Twirling_Solo_SoloDance_Cadet_Beginner[[#This Row],[Judge 2
Tihomir Bendelja]]-Twirling_Solo_SoloDance_Cadet_Beginner[[#This Row],[J2 (-)]]</f>
        <v>0</v>
      </c>
      <c r="P20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20" s="21"/>
      <c r="R20" s="22"/>
      <c r="S20" s="23">
        <f>Twirling_Solo_SoloDance_Cadet_Beginner[[#This Row],[Judge 3
Tea Softić]]-R20</f>
        <v>0</v>
      </c>
      <c r="T20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20" s="21">
        <v>9.1</v>
      </c>
      <c r="V20" s="22">
        <v>1.5</v>
      </c>
      <c r="W20" s="23">
        <f>Twirling_Solo_SoloDance_Cadet_Beginner[[#This Row],[Judge 4
Bernard Barač]]-V20</f>
        <v>7.6</v>
      </c>
      <c r="X20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19</v>
      </c>
      <c r="Y20" s="21">
        <v>8.15</v>
      </c>
      <c r="Z20" s="22">
        <v>1.5</v>
      </c>
      <c r="AA20" s="23">
        <f>Twirling_Solo_SoloDance_Cadet_Beginner[[#This Row],[Judge 5
Barbara Novina]]-Z20</f>
        <v>6.65</v>
      </c>
      <c r="AB20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18</v>
      </c>
      <c r="AC20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14.25</v>
      </c>
      <c r="AD20" s="25"/>
      <c r="AE20" s="25"/>
      <c r="AF20" s="25">
        <f>SUM(Twirling_Solo_SoloDance_Cadet_Beginner[[#This Row],[Total]]-Twirling_Solo_SoloDance_Cadet_Beginner[[#This Row],[Low]]-Twirling_Solo_SoloDance_Cadet_Beginner[[#This Row],[High]])</f>
        <v>14.25</v>
      </c>
      <c r="AG20" s="25">
        <f t="shared" si="0"/>
        <v>8.625</v>
      </c>
      <c r="AH20" s="26">
        <f>Twirling_Solo_SoloDance_Cadet_Beginner[[#This Row],[Final Total]]</f>
        <v>14.25</v>
      </c>
      <c r="AI20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19</v>
      </c>
      <c r="AJ20" s="18" t="s">
        <v>33</v>
      </c>
      <c r="AL20" s="68"/>
      <c r="AM20" s="68"/>
    </row>
    <row r="21" spans="1:39" ht="15.6" x14ac:dyDescent="0.3">
      <c r="A21" s="18">
        <v>73</v>
      </c>
      <c r="B21" s="19">
        <v>2</v>
      </c>
      <c r="C21" s="19" t="s">
        <v>82</v>
      </c>
      <c r="D21" s="19" t="s">
        <v>23</v>
      </c>
      <c r="E21" s="19" t="s">
        <v>51</v>
      </c>
      <c r="F21" s="31" t="s">
        <v>103</v>
      </c>
      <c r="G21" s="19" t="s">
        <v>86</v>
      </c>
      <c r="H21" s="20" t="s">
        <v>25</v>
      </c>
      <c r="I21" s="21"/>
      <c r="J21" s="22"/>
      <c r="K21" s="23">
        <f>Twirling_Solo_SoloDance_Cadet_Beginner[[#This Row],[Judge 1
Tamara Beljak]]-J21</f>
        <v>0</v>
      </c>
      <c r="L21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Row],[Category]],Twirling_Solo_SoloDance_Cadet_Beginner[J1 TOTAL],"&gt;"&amp;Twirling_Solo_SoloDance_Cadet_Beginner[[#This Row],[J1 TOTAL]])+1</f>
        <v>1</v>
      </c>
      <c r="M21" s="21"/>
      <c r="N21" s="22"/>
      <c r="O21" s="23">
        <f>Twirling_Solo_SoloDance_Cadet_Beginner[[#This Row],[Judge 2
Tihomir Bendelja]]-Twirling_Solo_SoloDance_Cadet_Beginner[[#This Row],[J2 (-)]]</f>
        <v>0</v>
      </c>
      <c r="P21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Row],[Category]],Twirling_Solo_SoloDance_Cadet_Beginner[J2 TOTAL],"&gt;"&amp;Twirling_Solo_SoloDance_Cadet_Beginner[[#This Row],[J2 TOTAL]])+1</f>
        <v>1</v>
      </c>
      <c r="Q21" s="21"/>
      <c r="R21" s="22"/>
      <c r="S21" s="23">
        <f>Twirling_Solo_SoloDance_Cadet_Beginner[[#This Row],[Judge 3
Tea Softić]]-R21</f>
        <v>0</v>
      </c>
      <c r="T21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Row],[Category]],Twirling_Solo_SoloDance_Cadet_Beginner[J3 TOTAL],"&gt;"&amp;Twirling_Solo_SoloDance_Cadet_Beginner[[#This Row],[J3 TOTAL]])+1</f>
        <v>1</v>
      </c>
      <c r="U21" s="21">
        <v>7.8</v>
      </c>
      <c r="V21" s="22">
        <v>1.5</v>
      </c>
      <c r="W21" s="23">
        <f>Twirling_Solo_SoloDance_Cadet_Beginner[[#This Row],[Judge 4
Bernard Barač]]-V21</f>
        <v>6.3</v>
      </c>
      <c r="X21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Row],[Category]],Twirling_Solo_SoloDance_Cadet_Beginner[J4 TOTAL],"&gt;"&amp;Twirling_Solo_SoloDance_Cadet_Beginner[[#This Row],[J4 TOTAL]])+1</f>
        <v>20</v>
      </c>
      <c r="Y21" s="21">
        <v>7.8</v>
      </c>
      <c r="Z21" s="22">
        <v>1.5</v>
      </c>
      <c r="AA21" s="23">
        <f>Twirling_Solo_SoloDance_Cadet_Beginner[[#This Row],[Judge 5
Barbara Novina]]-Z21</f>
        <v>6.3</v>
      </c>
      <c r="AB21" s="24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Row],[Category]],Twirling_Solo_SoloDance_Cadet_Beginner[J5 TOTAL],"&gt;"&amp;Twirling_Solo_SoloDance_Cadet_Beginner[[#This Row],[J5 TOTAL]])+1</f>
        <v>20</v>
      </c>
      <c r="AC21" s="25">
        <f>SUM(Twirling_Solo_SoloDance_Cadet_Beginner[[#This Row],[J1 TOTAL]]+Twirling_Solo_SoloDance_Cadet_Beginner[[#This Row],[J2 TOTAL]]+Twirling_Solo_SoloDance_Cadet_Beginner[[#This Row],[J3 TOTAL]]+Twirling_Solo_SoloDance_Cadet_Beginner[[#This Row],[J4 TOTAL]])+Twirling_Solo_SoloDance_Cadet_Beginner[[#This Row],[J5 TOTAL]]</f>
        <v>12.6</v>
      </c>
      <c r="AD21" s="25"/>
      <c r="AE21" s="25"/>
      <c r="AF21" s="25">
        <f>SUM(Twirling_Solo_SoloDance_Cadet_Beginner[[#This Row],[Total]]-Twirling_Solo_SoloDance_Cadet_Beginner[[#This Row],[Low]]-Twirling_Solo_SoloDance_Cadet_Beginner[[#This Row],[High]])</f>
        <v>12.6</v>
      </c>
      <c r="AG21" s="25">
        <f t="shared" si="0"/>
        <v>7.8</v>
      </c>
      <c r="AH21" s="26">
        <f>Twirling_Solo_SoloDance_Cadet_Beginner[[#This Row],[Final Total]]</f>
        <v>12.6</v>
      </c>
      <c r="AI21" s="28">
        <f>COUNTIFS(Twirling_Solo_SoloDance_Cadet_Beginner[Age
Division],Twirling_Solo_SoloDance_Cadet_Beginner[[#This Row],[Age
Division]],Twirling_Solo_SoloDance_Cadet_Beginner[Category],Twirling_Solo_SoloDance_Cadet_Beginner[[#This Row],[Category]],Twirling_Solo_SoloDance_Cadet_Beginner[FINAL SCORE],"&gt;"&amp;Twirling_Solo_SoloDance_Cadet_Beginner[[#This Row],[FINAL SCORE]])+1</f>
        <v>20</v>
      </c>
      <c r="AJ21" s="18" t="s">
        <v>33</v>
      </c>
      <c r="AL21" s="68"/>
      <c r="AM21" s="68"/>
    </row>
  </sheetData>
  <sheetProtection algorithmName="SHA-512" hashValue="qZNnksKDsa7eeEVn0fLorufaorBTMJVX70LVlTkBIFCFZEplMrbI2GKmVn4a5H0ZhSI02Gt5Li+BqKJO+K1/Bw==" saltValue="SWz5NbtLFYM5eT1XzdDH5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931F9-2281-4239-BFA6-CEE281252F39}">
  <sheetPr codeName="Sheet15"/>
  <dimension ref="A1:BC23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7" style="30" customWidth="1"/>
    <col min="5" max="5" width="10.5546875" style="29" bestFit="1" customWidth="1"/>
    <col min="6" max="6" width="19.88671875" style="20" bestFit="1" customWidth="1"/>
    <col min="7" max="7" width="43.33203125" style="20" bestFit="1" customWidth="1"/>
    <col min="8" max="8" width="7.88671875" style="20" customWidth="1"/>
    <col min="9" max="16" width="9.109375" style="20" hidden="1" customWidth="1"/>
    <col min="17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55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98</v>
      </c>
      <c r="B2" s="19">
        <v>2</v>
      </c>
      <c r="C2" s="19" t="s">
        <v>82</v>
      </c>
      <c r="D2" s="19" t="s">
        <v>23</v>
      </c>
      <c r="E2" s="19" t="s">
        <v>43</v>
      </c>
      <c r="F2" s="31" t="s">
        <v>46</v>
      </c>
      <c r="G2" s="19" t="s">
        <v>47</v>
      </c>
      <c r="H2" s="20" t="s">
        <v>25</v>
      </c>
      <c r="I2" s="21"/>
      <c r="J2" s="22"/>
      <c r="K2" s="23">
        <f>Twirling_Solo_SoloDance_Cadet_Intermediate[[#This Row],[Judge 1
Tamara Beljak]]-J2</f>
        <v>0</v>
      </c>
      <c r="L2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Row],[Category]],Twirling_Solo_SoloDance_Cadet_Intermediate[J1 TOTAL],"&gt;"&amp;Twirling_Solo_SoloDance_Cadet_Intermediate[[#This Row],[J1 TOTAL]])+1</f>
        <v>1</v>
      </c>
      <c r="M2" s="21"/>
      <c r="N2" s="22"/>
      <c r="O2" s="23">
        <f>Twirling_Solo_SoloDance_Cadet_Intermediate[[#This Row],[Judge 2
Tihomir Bendelja]]-Twirling_Solo_SoloDance_Cadet_Intermediate[[#This Row],[J2 (-)]]</f>
        <v>0</v>
      </c>
      <c r="P2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Row],[Category]],Twirling_Solo_SoloDance_Cadet_Intermediate[J2 TOTAL],"&gt;"&amp;Twirling_Solo_SoloDance_Cadet_Intermediate[[#This Row],[J2 TOTAL]])+1</f>
        <v>1</v>
      </c>
      <c r="Q2" s="21">
        <v>22.9</v>
      </c>
      <c r="R2" s="22">
        <v>0.5</v>
      </c>
      <c r="S2" s="23">
        <f>Twirling_Solo_SoloDance_Cadet_Intermediate[[#This Row],[Judge 3
Tea Softić]]-R2</f>
        <v>22.4</v>
      </c>
      <c r="T2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Row],[Category]],Twirling_Solo_SoloDance_Cadet_Intermediate[J3 TOTAL],"&gt;"&amp;Twirling_Solo_SoloDance_Cadet_Intermediate[[#This Row],[J3 TOTAL]])+1</f>
        <v>1</v>
      </c>
      <c r="U2" s="21">
        <v>18.399999999999999</v>
      </c>
      <c r="V2" s="22">
        <v>0.5</v>
      </c>
      <c r="W2" s="23">
        <f>Twirling_Solo_SoloDance_Cadet_Intermediate[[#This Row],[Judge 4
Bernard Barač]]-V2</f>
        <v>17.899999999999999</v>
      </c>
      <c r="X2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Row],[Category]],Twirling_Solo_SoloDance_Cadet_Intermediate[J4 TOTAL],"&gt;"&amp;Twirling_Solo_SoloDance_Cadet_Intermediate[[#This Row],[J4 TOTAL]])+1</f>
        <v>1</v>
      </c>
      <c r="Y2" s="21">
        <v>19</v>
      </c>
      <c r="Z2" s="22">
        <v>0.5</v>
      </c>
      <c r="AA2" s="23">
        <f>Twirling_Solo_SoloDance_Cadet_Intermediate[[#This Row],[Judge 5
Barbara Novina]]-Z2</f>
        <v>18.5</v>
      </c>
      <c r="AB2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Row],[Category]],Twirling_Solo_SoloDance_Cadet_Intermediate[J5 TOTAL],"&gt;"&amp;Twirling_Solo_SoloDance_Cadet_Intermediate[[#This Row],[J5 TOTAL]])+1</f>
        <v>1</v>
      </c>
      <c r="AC2" s="25">
        <f>SUM(Twirling_Solo_SoloDance_Cadet_Intermediate[[#This Row],[J1 TOTAL]]+Twirling_Solo_SoloDance_Cadet_Intermediate[[#This Row],[J2 TOTAL]]+Twirling_Solo_SoloDance_Cadet_Intermediate[[#This Row],[J3 TOTAL]]+Twirling_Solo_SoloDance_Cadet_Intermediate[[#This Row],[J4 TOTAL]])+Twirling_Solo_SoloDance_Cadet_Intermediate[[#This Row],[J5 TOTAL]]</f>
        <v>58.8</v>
      </c>
      <c r="AD2" s="25"/>
      <c r="AE2" s="25"/>
      <c r="AF2" s="25">
        <f>SUM(Twirling_Solo_SoloDance_Cadet_Intermediate[[#This Row],[Total]]-Twirling_Solo_SoloDance_Cadet_Intermediate[[#This Row],[Low]]-Twirling_Solo_SoloDance_Cadet_Intermediate[[#This Row],[High]])</f>
        <v>58.8</v>
      </c>
      <c r="AG2" s="25">
        <f t="shared" ref="AG2:AG9" si="0">AVERAGE(I2,M2,Q2,U2,Y2)</f>
        <v>20.099999999999998</v>
      </c>
      <c r="AH2" s="26">
        <f>Twirling_Solo_SoloDance_Cadet_Intermediate[[#This Row],[Final Total]]</f>
        <v>58.8</v>
      </c>
      <c r="AI2" s="28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Row],[Category]],Twirling_Solo_SoloDance_Cadet_Intermediate[FINAL SCORE],"&gt;"&amp;Twirling_Solo_SoloDance_Cadet_Intermediate[[#This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100</v>
      </c>
      <c r="B3" s="19">
        <v>2</v>
      </c>
      <c r="C3" s="19" t="s">
        <v>82</v>
      </c>
      <c r="D3" s="19" t="s">
        <v>23</v>
      </c>
      <c r="E3" s="19" t="s">
        <v>43</v>
      </c>
      <c r="F3" s="31" t="s">
        <v>48</v>
      </c>
      <c r="G3" s="19" t="s">
        <v>49</v>
      </c>
      <c r="H3" s="20" t="s">
        <v>25</v>
      </c>
      <c r="I3" s="21"/>
      <c r="J3" s="22"/>
      <c r="K3" s="23">
        <f>Twirling_Solo_SoloDance_Cadet_Intermediate[[#This Row],[Judge 1
Tamara Beljak]]-J3</f>
        <v>0</v>
      </c>
      <c r="L3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Row],[Category]],Twirling_Solo_SoloDance_Cadet_Intermediate[J1 TOTAL],"&gt;"&amp;Twirling_Solo_SoloDance_Cadet_Intermediate[[#This Row],[J1 TOTAL]])+1</f>
        <v>1</v>
      </c>
      <c r="M3" s="21"/>
      <c r="N3" s="22"/>
      <c r="O3" s="23">
        <f>Twirling_Solo_SoloDance_Cadet_Intermediate[[#This Row],[Judge 2
Tihomir Bendelja]]-Twirling_Solo_SoloDance_Cadet_Intermediate[[#This Row],[J2 (-)]]</f>
        <v>0</v>
      </c>
      <c r="P3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Row],[Category]],Twirling_Solo_SoloDance_Cadet_Intermediate[J2 TOTAL],"&gt;"&amp;Twirling_Solo_SoloDance_Cadet_Intermediate[[#This Row],[J2 TOTAL]])+1</f>
        <v>1</v>
      </c>
      <c r="Q3" s="21">
        <v>21.5</v>
      </c>
      <c r="R3" s="22">
        <v>1.5</v>
      </c>
      <c r="S3" s="23">
        <f>Twirling_Solo_SoloDance_Cadet_Intermediate[[#This Row],[Judge 3
Tea Softić]]-R3</f>
        <v>20</v>
      </c>
      <c r="T3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Row],[Category]],Twirling_Solo_SoloDance_Cadet_Intermediate[J3 TOTAL],"&gt;"&amp;Twirling_Solo_SoloDance_Cadet_Intermediate[[#This Row],[J3 TOTAL]])+1</f>
        <v>2</v>
      </c>
      <c r="U3" s="21">
        <v>18.3</v>
      </c>
      <c r="V3" s="22">
        <v>1.5</v>
      </c>
      <c r="W3" s="23">
        <f>Twirling_Solo_SoloDance_Cadet_Intermediate[[#This Row],[Judge 4
Bernard Barač]]-V3</f>
        <v>16.8</v>
      </c>
      <c r="X3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Row],[Category]],Twirling_Solo_SoloDance_Cadet_Intermediate[J4 TOTAL],"&gt;"&amp;Twirling_Solo_SoloDance_Cadet_Intermediate[[#This Row],[J4 TOTAL]])+1</f>
        <v>2</v>
      </c>
      <c r="Y3" s="21">
        <v>18.3</v>
      </c>
      <c r="Z3" s="22">
        <v>1.5</v>
      </c>
      <c r="AA3" s="23">
        <f>Twirling_Solo_SoloDance_Cadet_Intermediate[[#This Row],[Judge 5
Barbara Novina]]-Z3</f>
        <v>16.8</v>
      </c>
      <c r="AB3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Row],[Category]],Twirling_Solo_SoloDance_Cadet_Intermediate[J5 TOTAL],"&gt;"&amp;Twirling_Solo_SoloDance_Cadet_Intermediate[[#This Row],[J5 TOTAL]])+1</f>
        <v>2</v>
      </c>
      <c r="AC3" s="25">
        <f>SUM(Twirling_Solo_SoloDance_Cadet_Intermediate[[#This Row],[J1 TOTAL]]+Twirling_Solo_SoloDance_Cadet_Intermediate[[#This Row],[J2 TOTAL]]+Twirling_Solo_SoloDance_Cadet_Intermediate[[#This Row],[J3 TOTAL]]+Twirling_Solo_SoloDance_Cadet_Intermediate[[#This Row],[J4 TOTAL]])+Twirling_Solo_SoloDance_Cadet_Intermediate[[#This Row],[J5 TOTAL]]</f>
        <v>53.599999999999994</v>
      </c>
      <c r="AD3" s="25"/>
      <c r="AE3" s="25"/>
      <c r="AF3" s="25">
        <f>SUM(Twirling_Solo_SoloDance_Cadet_Intermediate[[#This Row],[Total]]-Twirling_Solo_SoloDance_Cadet_Intermediate[[#This Row],[Low]]-Twirling_Solo_SoloDance_Cadet_Intermediate[[#This Row],[High]])</f>
        <v>53.599999999999994</v>
      </c>
      <c r="AG3" s="25">
        <f t="shared" si="0"/>
        <v>19.366666666666664</v>
      </c>
      <c r="AH3" s="26">
        <f>Twirling_Solo_SoloDance_Cadet_Intermediate[[#This Row],[Final Total]]</f>
        <v>53.599999999999994</v>
      </c>
      <c r="AI3" s="28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Row],[Category]],Twirling_Solo_SoloDance_Cadet_Intermediate[FINAL SCORE],"&gt;"&amp;Twirling_Solo_SoloDance_Cadet_Intermediate[[#This Row],[FINAL SCORE]])+1</f>
        <v>2</v>
      </c>
      <c r="AJ3" s="18" t="s">
        <v>33</v>
      </c>
    </row>
    <row r="4" spans="1:55" ht="15.6" x14ac:dyDescent="0.3">
      <c r="A4" s="18">
        <v>90</v>
      </c>
      <c r="B4" s="19">
        <v>2</v>
      </c>
      <c r="C4" s="19" t="s">
        <v>82</v>
      </c>
      <c r="D4" s="19" t="s">
        <v>23</v>
      </c>
      <c r="E4" s="19" t="s">
        <v>43</v>
      </c>
      <c r="F4" s="31" t="s">
        <v>84</v>
      </c>
      <c r="G4" s="19" t="s">
        <v>47</v>
      </c>
      <c r="H4" s="20" t="s">
        <v>25</v>
      </c>
      <c r="I4" s="21"/>
      <c r="J4" s="22"/>
      <c r="K4" s="23">
        <f>Twirling_Solo_SoloDance_Cadet_Intermediate[[#This Row],[Judge 1
Tamara Beljak]]-J4</f>
        <v>0</v>
      </c>
      <c r="L4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Row],[Category]],Twirling_Solo_SoloDance_Cadet_Intermediate[J1 TOTAL],"&gt;"&amp;Twirling_Solo_SoloDance_Cadet_Intermediate[[#This Row],[J1 TOTAL]])+1</f>
        <v>1</v>
      </c>
      <c r="M4" s="21"/>
      <c r="N4" s="22"/>
      <c r="O4" s="23">
        <f>Twirling_Solo_SoloDance_Cadet_Intermediate[[#This Row],[Judge 2
Tihomir Bendelja]]-Twirling_Solo_SoloDance_Cadet_Intermediate[[#This Row],[J2 (-)]]</f>
        <v>0</v>
      </c>
      <c r="P4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Row],[Category]],Twirling_Solo_SoloDance_Cadet_Intermediate[J2 TOTAL],"&gt;"&amp;Twirling_Solo_SoloDance_Cadet_Intermediate[[#This Row],[J2 TOTAL]])+1</f>
        <v>1</v>
      </c>
      <c r="Q4" s="21">
        <v>17.7</v>
      </c>
      <c r="R4" s="22">
        <v>1</v>
      </c>
      <c r="S4" s="23">
        <f>Twirling_Solo_SoloDance_Cadet_Intermediate[[#This Row],[Judge 3
Tea Softić]]-R4</f>
        <v>16.7</v>
      </c>
      <c r="T4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Row],[Category]],Twirling_Solo_SoloDance_Cadet_Intermediate[J3 TOTAL],"&gt;"&amp;Twirling_Solo_SoloDance_Cadet_Intermediate[[#This Row],[J3 TOTAL]])+1</f>
        <v>4</v>
      </c>
      <c r="U4" s="21">
        <v>16.600000000000001</v>
      </c>
      <c r="V4" s="22">
        <v>1</v>
      </c>
      <c r="W4" s="23">
        <f>Twirling_Solo_SoloDance_Cadet_Intermediate[[#This Row],[Judge 4
Bernard Barač]]-V4</f>
        <v>15.600000000000001</v>
      </c>
      <c r="X4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Row],[Category]],Twirling_Solo_SoloDance_Cadet_Intermediate[J4 TOTAL],"&gt;"&amp;Twirling_Solo_SoloDance_Cadet_Intermediate[[#This Row],[J4 TOTAL]])+1</f>
        <v>4</v>
      </c>
      <c r="Y4" s="21">
        <v>17.7</v>
      </c>
      <c r="Z4" s="22">
        <v>1</v>
      </c>
      <c r="AA4" s="23">
        <f>Twirling_Solo_SoloDance_Cadet_Intermediate[[#This Row],[Judge 5
Barbara Novina]]-Z4</f>
        <v>16.7</v>
      </c>
      <c r="AB4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Row],[Category]],Twirling_Solo_SoloDance_Cadet_Intermediate[J5 TOTAL],"&gt;"&amp;Twirling_Solo_SoloDance_Cadet_Intermediate[[#This Row],[J5 TOTAL]])+1</f>
        <v>3</v>
      </c>
      <c r="AC4" s="25">
        <f>SUM(Twirling_Solo_SoloDance_Cadet_Intermediate[[#This Row],[J1 TOTAL]]+Twirling_Solo_SoloDance_Cadet_Intermediate[[#This Row],[J2 TOTAL]]+Twirling_Solo_SoloDance_Cadet_Intermediate[[#This Row],[J3 TOTAL]]+Twirling_Solo_SoloDance_Cadet_Intermediate[[#This Row],[J4 TOTAL]])+Twirling_Solo_SoloDance_Cadet_Intermediate[[#This Row],[J5 TOTAL]]</f>
        <v>49</v>
      </c>
      <c r="AD4" s="25"/>
      <c r="AE4" s="25"/>
      <c r="AF4" s="25">
        <f>SUM(Twirling_Solo_SoloDance_Cadet_Intermediate[[#This Row],[Total]]-Twirling_Solo_SoloDance_Cadet_Intermediate[[#This Row],[Low]]-Twirling_Solo_SoloDance_Cadet_Intermediate[[#This Row],[High]])</f>
        <v>49</v>
      </c>
      <c r="AG4" s="25">
        <f t="shared" si="0"/>
        <v>17.333333333333332</v>
      </c>
      <c r="AH4" s="26">
        <f>Twirling_Solo_SoloDance_Cadet_Intermediate[[#This Row],[Final Total]]</f>
        <v>49</v>
      </c>
      <c r="AI4" s="28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Row],[Category]],Twirling_Solo_SoloDance_Cadet_Intermediate[FINAL SCORE],"&gt;"&amp;Twirling_Solo_SoloDance_Cadet_Intermediate[[#This Row],[FINAL SCORE]])+1</f>
        <v>3</v>
      </c>
      <c r="AJ4" s="18" t="s">
        <v>33</v>
      </c>
    </row>
    <row r="5" spans="1:55" ht="15" customHeight="1" x14ac:dyDescent="0.3">
      <c r="A5" s="18">
        <v>94</v>
      </c>
      <c r="B5" s="19">
        <v>2</v>
      </c>
      <c r="C5" s="19" t="s">
        <v>82</v>
      </c>
      <c r="D5" s="19" t="s">
        <v>23</v>
      </c>
      <c r="E5" s="19" t="s">
        <v>43</v>
      </c>
      <c r="F5" s="31" t="s">
        <v>44</v>
      </c>
      <c r="G5" s="19" t="s">
        <v>45</v>
      </c>
      <c r="H5" s="20" t="s">
        <v>25</v>
      </c>
      <c r="I5" s="21"/>
      <c r="J5" s="22"/>
      <c r="K5" s="23">
        <f>Twirling_Solo_SoloDance_Cadet_Intermediate[[#This Row],[Judge 1
Tamara Beljak]]-J5</f>
        <v>0</v>
      </c>
      <c r="L5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Row],[Category]],Twirling_Solo_SoloDance_Cadet_Intermediate[J1 TOTAL],"&gt;"&amp;Twirling_Solo_SoloDance_Cadet_Intermediate[[#This Row],[J1 TOTAL]])+1</f>
        <v>1</v>
      </c>
      <c r="M5" s="21"/>
      <c r="N5" s="22"/>
      <c r="O5" s="23">
        <f>Twirling_Solo_SoloDance_Cadet_Intermediate[[#This Row],[Judge 2
Tihomir Bendelja]]-Twirling_Solo_SoloDance_Cadet_Intermediate[[#This Row],[J2 (-)]]</f>
        <v>0</v>
      </c>
      <c r="P5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Row],[Category]],Twirling_Solo_SoloDance_Cadet_Intermediate[J2 TOTAL],"&gt;"&amp;Twirling_Solo_SoloDance_Cadet_Intermediate[[#This Row],[J2 TOTAL]])+1</f>
        <v>1</v>
      </c>
      <c r="Q5" s="21">
        <v>18</v>
      </c>
      <c r="R5" s="22">
        <v>1</v>
      </c>
      <c r="S5" s="23">
        <f>Twirling_Solo_SoloDance_Cadet_Intermediate[[#This Row],[Judge 3
Tea Softić]]-R5</f>
        <v>17</v>
      </c>
      <c r="T5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Row],[Category]],Twirling_Solo_SoloDance_Cadet_Intermediate[J3 TOTAL],"&gt;"&amp;Twirling_Solo_SoloDance_Cadet_Intermediate[[#This Row],[J3 TOTAL]])+1</f>
        <v>3</v>
      </c>
      <c r="U5" s="21">
        <v>16.899999999999999</v>
      </c>
      <c r="V5" s="22">
        <v>1</v>
      </c>
      <c r="W5" s="23">
        <f>Twirling_Solo_SoloDance_Cadet_Intermediate[[#This Row],[Judge 4
Bernard Barač]]-V5</f>
        <v>15.899999999999999</v>
      </c>
      <c r="X5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Row],[Category]],Twirling_Solo_SoloDance_Cadet_Intermediate[J4 TOTAL],"&gt;"&amp;Twirling_Solo_SoloDance_Cadet_Intermediate[[#This Row],[J4 TOTAL]])+1</f>
        <v>3</v>
      </c>
      <c r="Y5" s="21">
        <v>16.7</v>
      </c>
      <c r="Z5" s="22">
        <v>1</v>
      </c>
      <c r="AA5" s="23">
        <f>Twirling_Solo_SoloDance_Cadet_Intermediate[[#This Row],[Judge 5
Barbara Novina]]-Z5</f>
        <v>15.7</v>
      </c>
      <c r="AB5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Row],[Category]],Twirling_Solo_SoloDance_Cadet_Intermediate[J5 TOTAL],"&gt;"&amp;Twirling_Solo_SoloDance_Cadet_Intermediate[[#This Row],[J5 TOTAL]])+1</f>
        <v>4</v>
      </c>
      <c r="AC5" s="25">
        <f>SUM(Twirling_Solo_SoloDance_Cadet_Intermediate[[#This Row],[J1 TOTAL]]+Twirling_Solo_SoloDance_Cadet_Intermediate[[#This Row],[J2 TOTAL]]+Twirling_Solo_SoloDance_Cadet_Intermediate[[#This Row],[J3 TOTAL]]+Twirling_Solo_SoloDance_Cadet_Intermediate[[#This Row],[J4 TOTAL]])+Twirling_Solo_SoloDance_Cadet_Intermediate[[#This Row],[J5 TOTAL]]</f>
        <v>48.599999999999994</v>
      </c>
      <c r="AD5" s="25"/>
      <c r="AE5" s="25"/>
      <c r="AF5" s="25">
        <f>SUM(Twirling_Solo_SoloDance_Cadet_Intermediate[[#This Row],[Total]]-Twirling_Solo_SoloDance_Cadet_Intermediate[[#This Row],[Low]]-Twirling_Solo_SoloDance_Cadet_Intermediate[[#This Row],[High]])</f>
        <v>48.599999999999994</v>
      </c>
      <c r="AG5" s="25">
        <f t="shared" si="0"/>
        <v>17.2</v>
      </c>
      <c r="AH5" s="26">
        <f>Twirling_Solo_SoloDance_Cadet_Intermediate[[#This Row],[Final Total]]</f>
        <v>48.599999999999994</v>
      </c>
      <c r="AI5" s="28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Row],[Category]],Twirling_Solo_SoloDance_Cadet_Intermediate[FINAL SCORE],"&gt;"&amp;Twirling_Solo_SoloDance_Cadet_Intermediate[[#This Row],[FINAL SCORE]])+1</f>
        <v>4</v>
      </c>
      <c r="AJ5" s="18" t="s">
        <v>33</v>
      </c>
    </row>
    <row r="6" spans="1:55" ht="15.6" x14ac:dyDescent="0.3">
      <c r="A6" s="18">
        <v>88</v>
      </c>
      <c r="B6" s="19">
        <v>2</v>
      </c>
      <c r="C6" s="19" t="s">
        <v>82</v>
      </c>
      <c r="D6" s="19" t="s">
        <v>23</v>
      </c>
      <c r="E6" s="19" t="s">
        <v>43</v>
      </c>
      <c r="F6" s="31" t="s">
        <v>85</v>
      </c>
      <c r="G6" s="19" t="s">
        <v>86</v>
      </c>
      <c r="H6" s="20" t="s">
        <v>25</v>
      </c>
      <c r="I6" s="21"/>
      <c r="J6" s="22"/>
      <c r="K6" s="23">
        <f>Twirling_Solo_SoloDance_Cadet_Intermediate[[#This Row],[Judge 1
Tamara Beljak]]-J6</f>
        <v>0</v>
      </c>
      <c r="L6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Row],[Category]],Twirling_Solo_SoloDance_Cadet_Intermediate[J1 TOTAL],"&gt;"&amp;Twirling_Solo_SoloDance_Cadet_Intermediate[[#This Row],[J1 TOTAL]])+1</f>
        <v>1</v>
      </c>
      <c r="M6" s="21"/>
      <c r="N6" s="22"/>
      <c r="O6" s="23">
        <f>Twirling_Solo_SoloDance_Cadet_Intermediate[[#This Row],[Judge 2
Tihomir Bendelja]]-Twirling_Solo_SoloDance_Cadet_Intermediate[[#This Row],[J2 (-)]]</f>
        <v>0</v>
      </c>
      <c r="P6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Row],[Category]],Twirling_Solo_SoloDance_Cadet_Intermediate[J2 TOTAL],"&gt;"&amp;Twirling_Solo_SoloDance_Cadet_Intermediate[[#This Row],[J2 TOTAL]])+1</f>
        <v>1</v>
      </c>
      <c r="Q6" s="21">
        <v>17.3</v>
      </c>
      <c r="R6" s="22">
        <v>1</v>
      </c>
      <c r="S6" s="23">
        <f>Twirling_Solo_SoloDance_Cadet_Intermediate[[#This Row],[Judge 3
Tea Softić]]-R6</f>
        <v>16.3</v>
      </c>
      <c r="T6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Row],[Category]],Twirling_Solo_SoloDance_Cadet_Intermediate[J3 TOTAL],"&gt;"&amp;Twirling_Solo_SoloDance_Cadet_Intermediate[[#This Row],[J3 TOTAL]])+1</f>
        <v>5</v>
      </c>
      <c r="U6" s="21">
        <v>15.4</v>
      </c>
      <c r="V6" s="22">
        <v>1</v>
      </c>
      <c r="W6" s="23">
        <f>Twirling_Solo_SoloDance_Cadet_Intermediate[[#This Row],[Judge 4
Bernard Barač]]-V6</f>
        <v>14.4</v>
      </c>
      <c r="X6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Row],[Category]],Twirling_Solo_SoloDance_Cadet_Intermediate[J4 TOTAL],"&gt;"&amp;Twirling_Solo_SoloDance_Cadet_Intermediate[[#This Row],[J4 TOTAL]])+1</f>
        <v>7</v>
      </c>
      <c r="Y6" s="21">
        <v>11.9</v>
      </c>
      <c r="Z6" s="22">
        <v>1</v>
      </c>
      <c r="AA6" s="23">
        <f>Twirling_Solo_SoloDance_Cadet_Intermediate[[#This Row],[Judge 5
Barbara Novina]]-Z6</f>
        <v>10.9</v>
      </c>
      <c r="AB6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Row],[Category]],Twirling_Solo_SoloDance_Cadet_Intermediate[J5 TOTAL],"&gt;"&amp;Twirling_Solo_SoloDance_Cadet_Intermediate[[#This Row],[J5 TOTAL]])+1</f>
        <v>7</v>
      </c>
      <c r="AC6" s="25">
        <f>SUM(Twirling_Solo_SoloDance_Cadet_Intermediate[[#This Row],[J1 TOTAL]]+Twirling_Solo_SoloDance_Cadet_Intermediate[[#This Row],[J2 TOTAL]]+Twirling_Solo_SoloDance_Cadet_Intermediate[[#This Row],[J3 TOTAL]]+Twirling_Solo_SoloDance_Cadet_Intermediate[[#This Row],[J4 TOTAL]])+Twirling_Solo_SoloDance_Cadet_Intermediate[[#This Row],[J5 TOTAL]]</f>
        <v>41.6</v>
      </c>
      <c r="AD6" s="25"/>
      <c r="AE6" s="25"/>
      <c r="AF6" s="25">
        <f>SUM(Twirling_Solo_SoloDance_Cadet_Intermediate[[#This Row],[Total]]-Twirling_Solo_SoloDance_Cadet_Intermediate[[#This Row],[Low]]-Twirling_Solo_SoloDance_Cadet_Intermediate[[#This Row],[High]])</f>
        <v>41.6</v>
      </c>
      <c r="AG6" s="25">
        <f t="shared" si="0"/>
        <v>14.866666666666667</v>
      </c>
      <c r="AH6" s="26">
        <f>Twirling_Solo_SoloDance_Cadet_Intermediate[[#This Row],[Final Total]]</f>
        <v>41.6</v>
      </c>
      <c r="AI6" s="27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Row],[Category]],Twirling_Solo_SoloDance_Cadet_Intermediate[FINAL SCORE],"&gt;"&amp;Twirling_Solo_SoloDance_Cadet_Intermediate[[#This Row],[FINAL SCORE]])+1</f>
        <v>5</v>
      </c>
      <c r="AJ6" s="18" t="s">
        <v>33</v>
      </c>
    </row>
    <row r="7" spans="1:55" ht="15.6" x14ac:dyDescent="0.3">
      <c r="A7" s="18">
        <v>92</v>
      </c>
      <c r="B7" s="19">
        <v>2</v>
      </c>
      <c r="C7" s="19" t="s">
        <v>82</v>
      </c>
      <c r="D7" s="19" t="s">
        <v>23</v>
      </c>
      <c r="E7" s="19" t="s">
        <v>43</v>
      </c>
      <c r="F7" s="31" t="s">
        <v>97</v>
      </c>
      <c r="G7" s="19" t="s">
        <v>45</v>
      </c>
      <c r="H7" s="20" t="s">
        <v>25</v>
      </c>
      <c r="I7" s="21"/>
      <c r="J7" s="22"/>
      <c r="K7" s="23">
        <f>Twirling_Solo_SoloDance_Cadet_Intermediate[[#This Row],[Judge 1
Tamara Beljak]]-J7</f>
        <v>0</v>
      </c>
      <c r="L7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Row],[Category]],Twirling_Solo_SoloDance_Cadet_Intermediate[J1 TOTAL],"&gt;"&amp;Twirling_Solo_SoloDance_Cadet_Intermediate[[#This Row],[J1 TOTAL]])+1</f>
        <v>1</v>
      </c>
      <c r="M7" s="21"/>
      <c r="N7" s="22"/>
      <c r="O7" s="23">
        <f>Twirling_Solo_SoloDance_Cadet_Intermediate[[#This Row],[Judge 2
Tihomir Bendelja]]-Twirling_Solo_SoloDance_Cadet_Intermediate[[#This Row],[J2 (-)]]</f>
        <v>0</v>
      </c>
      <c r="P7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Row],[Category]],Twirling_Solo_SoloDance_Cadet_Intermediate[J2 TOTAL],"&gt;"&amp;Twirling_Solo_SoloDance_Cadet_Intermediate[[#This Row],[J2 TOTAL]])+1</f>
        <v>1</v>
      </c>
      <c r="Q7" s="21">
        <v>15.3</v>
      </c>
      <c r="R7" s="22">
        <v>0.5</v>
      </c>
      <c r="S7" s="23">
        <f>Twirling_Solo_SoloDance_Cadet_Intermediate[[#This Row],[Judge 3
Tea Softić]]-R7</f>
        <v>14.8</v>
      </c>
      <c r="T7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Row],[Category]],Twirling_Solo_SoloDance_Cadet_Intermediate[J3 TOTAL],"&gt;"&amp;Twirling_Solo_SoloDance_Cadet_Intermediate[[#This Row],[J3 TOTAL]])+1</f>
        <v>6</v>
      </c>
      <c r="U7" s="21">
        <v>15.1</v>
      </c>
      <c r="V7" s="22">
        <v>0.5</v>
      </c>
      <c r="W7" s="23">
        <f>Twirling_Solo_SoloDance_Cadet_Intermediate[[#This Row],[Judge 4
Bernard Barač]]-V7</f>
        <v>14.6</v>
      </c>
      <c r="X7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Row],[Category]],Twirling_Solo_SoloDance_Cadet_Intermediate[J4 TOTAL],"&gt;"&amp;Twirling_Solo_SoloDance_Cadet_Intermediate[[#This Row],[J4 TOTAL]])+1</f>
        <v>6</v>
      </c>
      <c r="Y7" s="21">
        <v>11.7</v>
      </c>
      <c r="Z7" s="22">
        <v>0.5</v>
      </c>
      <c r="AA7" s="23">
        <f>Twirling_Solo_SoloDance_Cadet_Intermediate[[#This Row],[Judge 5
Barbara Novina]]-Z7</f>
        <v>11.2</v>
      </c>
      <c r="AB7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Row],[Category]],Twirling_Solo_SoloDance_Cadet_Intermediate[J5 TOTAL],"&gt;"&amp;Twirling_Solo_SoloDance_Cadet_Intermediate[[#This Row],[J5 TOTAL]])+1</f>
        <v>6</v>
      </c>
      <c r="AC7" s="25">
        <f>SUM(Twirling_Solo_SoloDance_Cadet_Intermediate[[#This Row],[J1 TOTAL]]+Twirling_Solo_SoloDance_Cadet_Intermediate[[#This Row],[J2 TOTAL]]+Twirling_Solo_SoloDance_Cadet_Intermediate[[#This Row],[J3 TOTAL]]+Twirling_Solo_SoloDance_Cadet_Intermediate[[#This Row],[J4 TOTAL]])+Twirling_Solo_SoloDance_Cadet_Intermediate[[#This Row],[J5 TOTAL]]</f>
        <v>40.599999999999994</v>
      </c>
      <c r="AD7" s="25"/>
      <c r="AE7" s="25"/>
      <c r="AF7" s="25">
        <f>SUM(Twirling_Solo_SoloDance_Cadet_Intermediate[[#This Row],[Total]]-Twirling_Solo_SoloDance_Cadet_Intermediate[[#This Row],[Low]]-Twirling_Solo_SoloDance_Cadet_Intermediate[[#This Row],[High]])</f>
        <v>40.599999999999994</v>
      </c>
      <c r="AG7" s="25">
        <f t="shared" si="0"/>
        <v>14.033333333333331</v>
      </c>
      <c r="AH7" s="26">
        <f>Twirling_Solo_SoloDance_Cadet_Intermediate[[#This Row],[Final Total]]</f>
        <v>40.599999999999994</v>
      </c>
      <c r="AI7" s="28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Row],[Category]],Twirling_Solo_SoloDance_Cadet_Intermediate[FINAL SCORE],"&gt;"&amp;Twirling_Solo_SoloDance_Cadet_Intermediate[[#This Row],[FINAL SCORE]])+1</f>
        <v>6</v>
      </c>
      <c r="AJ7" s="18" t="s">
        <v>33</v>
      </c>
    </row>
    <row r="8" spans="1:55" ht="15.6" x14ac:dyDescent="0.3">
      <c r="A8" s="18">
        <v>102</v>
      </c>
      <c r="B8" s="19">
        <v>2</v>
      </c>
      <c r="C8" s="19" t="s">
        <v>82</v>
      </c>
      <c r="D8" s="19" t="s">
        <v>23</v>
      </c>
      <c r="E8" s="19" t="s">
        <v>43</v>
      </c>
      <c r="F8" s="31" t="s">
        <v>94</v>
      </c>
      <c r="G8" s="19" t="s">
        <v>86</v>
      </c>
      <c r="H8" s="20" t="s">
        <v>25</v>
      </c>
      <c r="I8" s="21"/>
      <c r="J8" s="22"/>
      <c r="K8" s="23">
        <f>Twirling_Solo_SoloDance_Cadet_Intermediate[[#This Row],[Judge 1
Tamara Beljak]]-J8</f>
        <v>0</v>
      </c>
      <c r="L8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Row],[Category]],Twirling_Solo_SoloDance_Cadet_Intermediate[J1 TOTAL],"&gt;"&amp;Twirling_Solo_SoloDance_Cadet_Intermediate[[#This Row],[J1 TOTAL]])+1</f>
        <v>1</v>
      </c>
      <c r="M8" s="21"/>
      <c r="N8" s="22"/>
      <c r="O8" s="23">
        <f>Twirling_Solo_SoloDance_Cadet_Intermediate[[#This Row],[Judge 2
Tihomir Bendelja]]-Twirling_Solo_SoloDance_Cadet_Intermediate[[#This Row],[J2 (-)]]</f>
        <v>0</v>
      </c>
      <c r="P8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Row],[Category]],Twirling_Solo_SoloDance_Cadet_Intermediate[J2 TOTAL],"&gt;"&amp;Twirling_Solo_SoloDance_Cadet_Intermediate[[#This Row],[J2 TOTAL]])+1</f>
        <v>1</v>
      </c>
      <c r="Q8" s="21">
        <v>13.6</v>
      </c>
      <c r="R8" s="22">
        <v>1.5</v>
      </c>
      <c r="S8" s="23">
        <f>Twirling_Solo_SoloDance_Cadet_Intermediate[[#This Row],[Judge 3
Tea Softić]]-R8</f>
        <v>12.1</v>
      </c>
      <c r="T8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Row],[Category]],Twirling_Solo_SoloDance_Cadet_Intermediate[J3 TOTAL],"&gt;"&amp;Twirling_Solo_SoloDance_Cadet_Intermediate[[#This Row],[J3 TOTAL]])+1</f>
        <v>7</v>
      </c>
      <c r="U8" s="21">
        <v>15.9</v>
      </c>
      <c r="V8" s="22">
        <v>1.5</v>
      </c>
      <c r="W8" s="23">
        <f>Twirling_Solo_SoloDance_Cadet_Intermediate[[#This Row],[Judge 4
Bernard Barač]]-V8</f>
        <v>14.4</v>
      </c>
      <c r="X8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Row],[Category]],Twirling_Solo_SoloDance_Cadet_Intermediate[J4 TOTAL],"&gt;"&amp;Twirling_Solo_SoloDance_Cadet_Intermediate[[#This Row],[J4 TOTAL]])+1</f>
        <v>7</v>
      </c>
      <c r="Y8" s="21">
        <v>13.5</v>
      </c>
      <c r="Z8" s="22">
        <v>1.5</v>
      </c>
      <c r="AA8" s="23">
        <f>Twirling_Solo_SoloDance_Cadet_Intermediate[[#This Row],[Judge 5
Barbara Novina]]-Z8</f>
        <v>12</v>
      </c>
      <c r="AB8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Row],[Category]],Twirling_Solo_SoloDance_Cadet_Intermediate[J5 TOTAL],"&gt;"&amp;Twirling_Solo_SoloDance_Cadet_Intermediate[[#This Row],[J5 TOTAL]])+1</f>
        <v>5</v>
      </c>
      <c r="AC8" s="25">
        <f>SUM(Twirling_Solo_SoloDance_Cadet_Intermediate[[#This Row],[J1 TOTAL]]+Twirling_Solo_SoloDance_Cadet_Intermediate[[#This Row],[J2 TOTAL]]+Twirling_Solo_SoloDance_Cadet_Intermediate[[#This Row],[J3 TOTAL]]+Twirling_Solo_SoloDance_Cadet_Intermediate[[#This Row],[J4 TOTAL]])+Twirling_Solo_SoloDance_Cadet_Intermediate[[#This Row],[J5 TOTAL]]</f>
        <v>38.5</v>
      </c>
      <c r="AD8" s="25"/>
      <c r="AE8" s="25"/>
      <c r="AF8" s="25">
        <f>SUM(Twirling_Solo_SoloDance_Cadet_Intermediate[[#This Row],[Total]]-Twirling_Solo_SoloDance_Cadet_Intermediate[[#This Row],[Low]]-Twirling_Solo_SoloDance_Cadet_Intermediate[[#This Row],[High]])</f>
        <v>38.5</v>
      </c>
      <c r="AG8" s="25">
        <f t="shared" si="0"/>
        <v>14.333333333333334</v>
      </c>
      <c r="AH8" s="26">
        <f>Twirling_Solo_SoloDance_Cadet_Intermediate[[#This Row],[Final Total]]</f>
        <v>38.5</v>
      </c>
      <c r="AI8" s="28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Row],[Category]],Twirling_Solo_SoloDance_Cadet_Intermediate[FINAL SCORE],"&gt;"&amp;Twirling_Solo_SoloDance_Cadet_Intermediate[[#This Row],[FINAL SCORE]])+1</f>
        <v>7</v>
      </c>
      <c r="AJ8" s="18" t="s">
        <v>33</v>
      </c>
    </row>
    <row r="9" spans="1:55" ht="15.6" x14ac:dyDescent="0.3">
      <c r="A9" s="18">
        <v>96</v>
      </c>
      <c r="B9" s="19">
        <v>2</v>
      </c>
      <c r="C9" s="19" t="s">
        <v>82</v>
      </c>
      <c r="D9" s="19" t="s">
        <v>23</v>
      </c>
      <c r="E9" s="19" t="s">
        <v>43</v>
      </c>
      <c r="F9" s="31" t="s">
        <v>157</v>
      </c>
      <c r="G9" s="19" t="s">
        <v>109</v>
      </c>
      <c r="H9" s="20" t="s">
        <v>28</v>
      </c>
      <c r="I9" s="21"/>
      <c r="J9" s="22"/>
      <c r="K9" s="23">
        <f>Twirling_Solo_SoloDance_Cadet_Intermediate[[#This Row],[Judge 1
Tamara Beljak]]-J9</f>
        <v>0</v>
      </c>
      <c r="L9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Row],[Category]],Twirling_Solo_SoloDance_Cadet_Intermediate[J1 TOTAL],"&gt;"&amp;Twirling_Solo_SoloDance_Cadet_Intermediate[[#This Row],[J1 TOTAL]])+1</f>
        <v>1</v>
      </c>
      <c r="M9" s="21"/>
      <c r="N9" s="22"/>
      <c r="O9" s="23">
        <f>Twirling_Solo_SoloDance_Cadet_Intermediate[[#This Row],[Judge 2
Tihomir Bendelja]]-Twirling_Solo_SoloDance_Cadet_Intermediate[[#This Row],[J2 (-)]]</f>
        <v>0</v>
      </c>
      <c r="P9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Row],[Category]],Twirling_Solo_SoloDance_Cadet_Intermediate[J2 TOTAL],"&gt;"&amp;Twirling_Solo_SoloDance_Cadet_Intermediate[[#This Row],[J2 TOTAL]])+1</f>
        <v>1</v>
      </c>
      <c r="Q9" s="21">
        <v>12.5</v>
      </c>
      <c r="R9" s="22">
        <v>0.5</v>
      </c>
      <c r="S9" s="23">
        <f>Twirling_Solo_SoloDance_Cadet_Intermediate[[#This Row],[Judge 3
Tea Softić]]-R9</f>
        <v>12</v>
      </c>
      <c r="T9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Row],[Category]],Twirling_Solo_SoloDance_Cadet_Intermediate[J3 TOTAL],"&gt;"&amp;Twirling_Solo_SoloDance_Cadet_Intermediate[[#This Row],[J3 TOTAL]])+1</f>
        <v>8</v>
      </c>
      <c r="U9" s="21">
        <v>15.2</v>
      </c>
      <c r="V9" s="22">
        <v>0.5</v>
      </c>
      <c r="W9" s="23">
        <f>Twirling_Solo_SoloDance_Cadet_Intermediate[[#This Row],[Judge 4
Bernard Barač]]-V9</f>
        <v>14.7</v>
      </c>
      <c r="X9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Row],[Category]],Twirling_Solo_SoloDance_Cadet_Intermediate[J4 TOTAL],"&gt;"&amp;Twirling_Solo_SoloDance_Cadet_Intermediate[[#This Row],[J4 TOTAL]])+1</f>
        <v>5</v>
      </c>
      <c r="Y9" s="21">
        <v>11.15</v>
      </c>
      <c r="Z9" s="22">
        <v>0.5</v>
      </c>
      <c r="AA9" s="23">
        <f>Twirling_Solo_SoloDance_Cadet_Intermediate[[#This Row],[Judge 5
Barbara Novina]]-Z9</f>
        <v>10.65</v>
      </c>
      <c r="AB9" s="24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Row],[Category]],Twirling_Solo_SoloDance_Cadet_Intermediate[J5 TOTAL],"&gt;"&amp;Twirling_Solo_SoloDance_Cadet_Intermediate[[#This Row],[J5 TOTAL]])+1</f>
        <v>8</v>
      </c>
      <c r="AC9" s="25">
        <f>SUM(Twirling_Solo_SoloDance_Cadet_Intermediate[[#This Row],[J1 TOTAL]]+Twirling_Solo_SoloDance_Cadet_Intermediate[[#This Row],[J2 TOTAL]]+Twirling_Solo_SoloDance_Cadet_Intermediate[[#This Row],[J3 TOTAL]]+Twirling_Solo_SoloDance_Cadet_Intermediate[[#This Row],[J4 TOTAL]])+Twirling_Solo_SoloDance_Cadet_Intermediate[[#This Row],[J5 TOTAL]]</f>
        <v>37.35</v>
      </c>
      <c r="AD9" s="25"/>
      <c r="AE9" s="25"/>
      <c r="AF9" s="25">
        <f>SUM(Twirling_Solo_SoloDance_Cadet_Intermediate[[#This Row],[Total]]-Twirling_Solo_SoloDance_Cadet_Intermediate[[#This Row],[Low]]-Twirling_Solo_SoloDance_Cadet_Intermediate[[#This Row],[High]])</f>
        <v>37.35</v>
      </c>
      <c r="AG9" s="25">
        <f t="shared" si="0"/>
        <v>12.950000000000001</v>
      </c>
      <c r="AH9" s="26">
        <f>Twirling_Solo_SoloDance_Cadet_Intermediate[[#This Row],[Final Total]]</f>
        <v>37.35</v>
      </c>
      <c r="AI9" s="28">
        <f>COUNTIFS(Twirling_Solo_SoloDance_Cadet_Intermediate[Age
Division],Twirling_Solo_SoloDance_Cadet_Intermediate[[#This Row],[Age
Division]],Twirling_Solo_SoloDance_Cadet_Intermediate[Category],Twirling_Solo_SoloDance_Cadet_Intermediate[[#This Row],[Category]],Twirling_Solo_SoloDance_Cadet_Intermediate[FINAL SCORE],"&gt;"&amp;Twirling_Solo_SoloDance_Cadet_Intermediate[[#This Row],[FINAL SCORE]])+1</f>
        <v>8</v>
      </c>
      <c r="AJ9" s="18" t="s">
        <v>33</v>
      </c>
    </row>
    <row r="12" spans="1:55" x14ac:dyDescent="0.3">
      <c r="R12" s="70"/>
    </row>
    <row r="13" spans="1:55" x14ac:dyDescent="0.3">
      <c r="R13" s="70"/>
    </row>
    <row r="14" spans="1:55" x14ac:dyDescent="0.3">
      <c r="R14" s="70"/>
    </row>
    <row r="15" spans="1:55" x14ac:dyDescent="0.3">
      <c r="R15" s="70"/>
    </row>
    <row r="16" spans="1:55" x14ac:dyDescent="0.3">
      <c r="R16" s="70"/>
    </row>
    <row r="17" spans="18:18" x14ac:dyDescent="0.3">
      <c r="R17" s="70"/>
    </row>
    <row r="18" spans="18:18" x14ac:dyDescent="0.3">
      <c r="R18" s="70"/>
    </row>
    <row r="19" spans="18:18" x14ac:dyDescent="0.3">
      <c r="R19" s="70"/>
    </row>
    <row r="20" spans="18:18" x14ac:dyDescent="0.3">
      <c r="R20" s="70"/>
    </row>
    <row r="21" spans="18:18" x14ac:dyDescent="0.3">
      <c r="R21" s="70"/>
    </row>
    <row r="22" spans="18:18" x14ac:dyDescent="0.3">
      <c r="R22" s="70"/>
    </row>
    <row r="23" spans="18:18" x14ac:dyDescent="0.3">
      <c r="R23" s="70"/>
    </row>
  </sheetData>
  <sheetProtection algorithmName="SHA-512" hashValue="YL0BGJT6v2bbHA8PF1FxTaxVvqXrsbIBEkpiw730perk5aEVxhy37Kqz+ucPLtFlYf0wdRhgiFNXpK9Cz4FU/A==" saltValue="6zBwYz6nTOWYLdpAGd0aJ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B76D01-A1A9-402A-A58E-E5D19FAA6302}">
  <sheetPr codeName="Sheet19"/>
  <dimension ref="A1:BC2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8.109375" style="30" customWidth="1"/>
    <col min="5" max="5" width="10.44140625" style="30" bestFit="1" customWidth="1"/>
    <col min="6" max="6" width="10.21875" style="20" bestFit="1" customWidth="1"/>
    <col min="7" max="7" width="43.33203125" style="20" bestFit="1" customWidth="1"/>
    <col min="8" max="8" width="7.44140625" style="20" customWidth="1"/>
    <col min="9" max="15" width="9.109375" style="20" hidden="1" customWidth="1"/>
    <col min="16" max="16" width="13.44140625" style="20" hidden="1" customWidth="1"/>
    <col min="17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130</v>
      </c>
      <c r="B2" s="19">
        <v>2</v>
      </c>
      <c r="C2" s="19" t="s">
        <v>82</v>
      </c>
      <c r="D2" s="19" t="s">
        <v>27</v>
      </c>
      <c r="E2" s="19" t="s">
        <v>75</v>
      </c>
      <c r="F2" s="19" t="s">
        <v>110</v>
      </c>
      <c r="G2" s="19" t="s">
        <v>49</v>
      </c>
      <c r="H2" s="20" t="s">
        <v>25</v>
      </c>
      <c r="I2" s="21"/>
      <c r="J2" s="22"/>
      <c r="K2" s="23">
        <f>Twirling_Solo_SoloDance_Junior_Professional[[#This Row],[Judge 1
Tamara Beljak]]-J2</f>
        <v>0</v>
      </c>
      <c r="L2" s="24">
        <f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Row],[Category]],Twirling_Solo_SoloDance_Junior_Professional[J1 TOTAL],"&gt;"&amp;Twirling_Solo_SoloDance_Junior_Professional[[#This Row],[J1 TOTAL]])+1</f>
        <v>1</v>
      </c>
      <c r="M2" s="21"/>
      <c r="N2" s="22"/>
      <c r="O2" s="23">
        <f>Twirling_Solo_SoloDance_Junior_Professional[[#This Row],[Judge 2
Tihomir Bendelja]]-Twirling_Solo_SoloDance_Junior_Professional[[#This Row],[J2 (-)]]</f>
        <v>0</v>
      </c>
      <c r="P2" s="24">
        <f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Row],[Category]],Twirling_Solo_SoloDance_Junior_Professional[J2 TOTAL],"&gt;"&amp;Twirling_Solo_SoloDance_Junior_Professional[[#This Row],[J2 TOTAL]])+1</f>
        <v>1</v>
      </c>
      <c r="Q2" s="21">
        <v>34.299999999999997</v>
      </c>
      <c r="R2" s="22">
        <v>4</v>
      </c>
      <c r="S2" s="23">
        <f>Twirling_Solo_SoloDance_Junior_Professional[[#This Row],[Judge 3
Tea Softić]]-R2</f>
        <v>30.299999999999997</v>
      </c>
      <c r="T2" s="24">
        <f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Row],[Category]],Twirling_Solo_SoloDance_Junior_Professional[J3 TOTAL],"&gt;"&amp;Twirling_Solo_SoloDance_Junior_Professional[[#This Row],[J3 TOTAL]])+1</f>
        <v>1</v>
      </c>
      <c r="U2" s="21">
        <v>32.700000000000003</v>
      </c>
      <c r="V2" s="22">
        <v>4</v>
      </c>
      <c r="W2" s="23">
        <f>Twirling_Solo_SoloDance_Junior_Professional[[#This Row],[Judge 4
Bernard Barač]]-V2</f>
        <v>28.700000000000003</v>
      </c>
      <c r="X2" s="24">
        <f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Row],[Category]],Twirling_Solo_SoloDance_Junior_Professional[J4 TOTAL],"&gt;"&amp;Twirling_Solo_SoloDance_Junior_Professional[[#This Row],[J4 TOTAL]])+1</f>
        <v>1</v>
      </c>
      <c r="Y2" s="21">
        <v>28.7</v>
      </c>
      <c r="Z2" s="22">
        <v>4</v>
      </c>
      <c r="AA2" s="23">
        <f>Twirling_Solo_SoloDance_Junior_Professional[[#This Row],[Judge 5
Barbara Novina]]-Z2</f>
        <v>24.7</v>
      </c>
      <c r="AB2" s="24">
        <f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Row],[Category]],Twirling_Solo_SoloDance_Junior_Professional[J5 TOTAL],"&gt;"&amp;Twirling_Solo_SoloDance_Junior_Professional[[#This Row],[J5 TOTAL]])+1</f>
        <v>1</v>
      </c>
      <c r="AC2" s="25">
        <f>SUM(Twirling_Solo_SoloDance_Junior_Professional[[#This Row],[J1 TOTAL]]+Twirling_Solo_SoloDance_Junior_Professional[[#This Row],[J2 TOTAL]]+Twirling_Solo_SoloDance_Junior_Professional[[#This Row],[J3 TOTAL]]+Twirling_Solo_SoloDance_Junior_Professional[[#This Row],[J4 TOTAL]])+Twirling_Solo_SoloDance_Junior_Professional[[#This Row],[J5 TOTAL]]</f>
        <v>83.7</v>
      </c>
      <c r="AD2" s="25"/>
      <c r="AE2" s="25"/>
      <c r="AF2" s="25">
        <f>SUM(Twirling_Solo_SoloDance_Junior_Professional[[#This Row],[Total]]-Twirling_Solo_SoloDance_Junior_Professional[[#This Row],[Low]]-Twirling_Solo_SoloDance_Junior_Professional[[#This Row],[High]])</f>
        <v>83.7</v>
      </c>
      <c r="AG2" s="25">
        <f>AVERAGE(I2,M2,Q2,U2,Y2)</f>
        <v>31.900000000000002</v>
      </c>
      <c r="AH2" s="26">
        <f>Twirling_Solo_SoloDance_Junior_Professional[[#This Row],[Final Total]]</f>
        <v>83.7</v>
      </c>
      <c r="AI2" s="27">
        <f>COUNTIFS(Twirling_Solo_SoloDance_Junior_Professional[Age
Division],Twirling_Solo_SoloDance_Junior_Professional[[#This Row],[Age
Division]],Twirling_Solo_SoloDance_Junior_Professional[Category],Twirling_Solo_SoloDance_Junior_Professional[[#This Row],[Category]],Twirling_Solo_SoloDance_Junior_Professional[FINAL SCORE],"&gt;"&amp;Twirling_Solo_SoloDance_Junior_Professional[[#This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</sheetData>
  <sheetProtection algorithmName="SHA-512" hashValue="6mQb7VXD6Yaz7OPnvKaGvb2UYNF9I4K7h6iAx6JxgnvyHuzt4NQaf1yC0K+8nrlUSbLfaj5plve8wekHR6gF+w==" saltValue="3CZL3FB198b1dvU+XesS4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2A39B-32CD-4B48-B157-742C4891484D}">
  <sheetPr codeName="Sheet20"/>
  <dimension ref="A1:BC3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9.6640625" style="30" bestFit="1" customWidth="1"/>
    <col min="5" max="5" width="7.88671875" style="30" bestFit="1" customWidth="1"/>
    <col min="6" max="6" width="13.44140625" style="20" bestFit="1" customWidth="1"/>
    <col min="7" max="7" width="31.109375" style="20" bestFit="1" customWidth="1"/>
    <col min="8" max="8" width="9.6640625" style="20" bestFit="1" customWidth="1"/>
    <col min="9" max="16" width="9.109375" style="20" customWidth="1"/>
    <col min="17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125</v>
      </c>
      <c r="B2" s="19">
        <v>1</v>
      </c>
      <c r="C2" s="19" t="s">
        <v>82</v>
      </c>
      <c r="D2" s="19" t="s">
        <v>29</v>
      </c>
      <c r="E2" s="19" t="s">
        <v>51</v>
      </c>
      <c r="F2" s="19" t="s">
        <v>169</v>
      </c>
      <c r="G2" s="19" t="s">
        <v>109</v>
      </c>
      <c r="H2" s="20" t="s">
        <v>28</v>
      </c>
      <c r="I2" s="21">
        <v>13.1</v>
      </c>
      <c r="J2" s="22">
        <v>1</v>
      </c>
      <c r="K2" s="23">
        <f>Twirling_Solo_SoloDance_Senior_Beginner[[#This Row],[Judge 1
Tamara Beljak]]-J2</f>
        <v>12.1</v>
      </c>
      <c r="L2" s="24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Row],[Category]],Twirling_Solo_SoloDance_Senior_Beginner[J1 TOTAL],"&gt;"&amp;Twirling_Solo_SoloDance_Senior_Beginner[[#This Row],[J1 TOTAL]])+1</f>
        <v>1</v>
      </c>
      <c r="M2" s="21">
        <v>12.8</v>
      </c>
      <c r="N2" s="22">
        <v>1</v>
      </c>
      <c r="O2" s="23">
        <f>Twirling_Solo_SoloDance_Senior_Beginner[[#This Row],[Judge 2
Tihomir Bendelja]]-Twirling_Solo_SoloDance_Senior_Beginner[[#This Row],[J2 (-)]]</f>
        <v>11.8</v>
      </c>
      <c r="P2" s="24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Row],[Category]],Twirling_Solo_SoloDance_Senior_Beginner[J2 TOTAL],"&gt;"&amp;Twirling_Solo_SoloDance_Senior_Beginner[[#This Row],[J2 TOTAL]])+1</f>
        <v>1</v>
      </c>
      <c r="Q2" s="21"/>
      <c r="R2" s="22"/>
      <c r="S2" s="23">
        <f>Twirling_Solo_SoloDance_Senior_Beginner[[#This Row],[Judge 3
Tea Softić]]-R2</f>
        <v>0</v>
      </c>
      <c r="T2" s="24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Row],[Category]],Twirling_Solo_SoloDance_Senior_Beginner[J3 TOTAL],"&gt;"&amp;Twirling_Solo_SoloDance_Senior_Beginner[[#This Row],[J3 TOTAL]])+1</f>
        <v>1</v>
      </c>
      <c r="U2" s="21"/>
      <c r="V2" s="22"/>
      <c r="W2" s="23">
        <f>Twirling_Solo_SoloDance_Senior_Beginner[[#This Row],[Judge 4
Bernard Barač]]-V2</f>
        <v>0</v>
      </c>
      <c r="X2" s="24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Row],[Category]],Twirling_Solo_SoloDance_Senior_Beginner[J4 TOTAL],"&gt;"&amp;Twirling_Solo_SoloDance_Senior_Beginner[[#This Row],[J4 TOTAL]])+1</f>
        <v>1</v>
      </c>
      <c r="Y2" s="21"/>
      <c r="Z2" s="22"/>
      <c r="AA2" s="23">
        <f>Twirling_Solo_SoloDance_Senior_Beginner[[#This Row],[Judge 5
Barbara Novina]]-Y2</f>
        <v>0</v>
      </c>
      <c r="AB2" s="24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Row],[Category]],Twirling_Solo_SoloDance_Senior_Beginner[J5 TOTAL],"&gt;"&amp;Twirling_Solo_SoloDance_Senior_Beginner[[#This Row],[J5 TOTAL]])+1</f>
        <v>1</v>
      </c>
      <c r="AC2" s="25">
        <f>SUM(Twirling_Solo_SoloDance_Senior_Beginner[[#This Row],[J1 TOTAL]]+Twirling_Solo_SoloDance_Senior_Beginner[[#This Row],[J2 TOTAL]]+Twirling_Solo_SoloDance_Senior_Beginner[[#This Row],[J3 TOTAL]]+Twirling_Solo_SoloDance_Senior_Beginner[[#This Row],[J4 TOTAL]])+Twirling_Solo_SoloDance_Senior_Beginner[[#This Row],[J5 TOTAL]]</f>
        <v>23.9</v>
      </c>
      <c r="AD2" s="25"/>
      <c r="AE2" s="25"/>
      <c r="AF2" s="25">
        <f>SUM(Twirling_Solo_SoloDance_Senior_Beginner[[#This Row],[Total]]-Twirling_Solo_SoloDance_Senior_Beginner[[#This Row],[Low]]-Twirling_Solo_SoloDance_Senior_Beginner[[#This Row],[High]])</f>
        <v>23.9</v>
      </c>
      <c r="AG2" s="25">
        <f>AVERAGE(I2,M2,Q2,U2,Y2)</f>
        <v>12.95</v>
      </c>
      <c r="AH2" s="26">
        <f>Twirling_Solo_SoloDance_Senior_Beginner[[#This Row],[Final Total]]</f>
        <v>23.9</v>
      </c>
      <c r="AI2" s="28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Row],[Category]],Twirling_Solo_SoloDance_Senior_Beginner[FINAL SCORE],"&gt;"&amp;Twirling_Solo_SoloDance_Senior_Beginner[[#This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123</v>
      </c>
      <c r="B3" s="19">
        <v>1</v>
      </c>
      <c r="C3" s="19" t="s">
        <v>82</v>
      </c>
      <c r="D3" s="19" t="s">
        <v>29</v>
      </c>
      <c r="E3" s="19" t="s">
        <v>51</v>
      </c>
      <c r="F3" s="19" t="s">
        <v>168</v>
      </c>
      <c r="G3" s="19" t="s">
        <v>31</v>
      </c>
      <c r="H3" s="20" t="s">
        <v>25</v>
      </c>
      <c r="I3" s="21">
        <v>11.8</v>
      </c>
      <c r="J3" s="22">
        <v>2</v>
      </c>
      <c r="K3" s="23">
        <f>Twirling_Solo_SoloDance_Senior_Beginner[[#This Row],[Judge 1
Tamara Beljak]]-J3</f>
        <v>9.8000000000000007</v>
      </c>
      <c r="L3" s="24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Row],[Category]],Twirling_Solo_SoloDance_Senior_Beginner[J1 TOTAL],"&gt;"&amp;Twirling_Solo_SoloDance_Senior_Beginner[[#This Row],[J1 TOTAL]])+1</f>
        <v>2</v>
      </c>
      <c r="M3" s="21">
        <v>11.8</v>
      </c>
      <c r="N3" s="22">
        <v>2</v>
      </c>
      <c r="O3" s="23">
        <f>Twirling_Solo_SoloDance_Senior_Beginner[[#This Row],[Judge 2
Tihomir Bendelja]]-Twirling_Solo_SoloDance_Senior_Beginner[[#This Row],[J2 (-)]]</f>
        <v>9.8000000000000007</v>
      </c>
      <c r="P3" s="24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Row],[Category]],Twirling_Solo_SoloDance_Senior_Beginner[J2 TOTAL],"&gt;"&amp;Twirling_Solo_SoloDance_Senior_Beginner[[#This Row],[J2 TOTAL]])+1</f>
        <v>2</v>
      </c>
      <c r="Q3" s="21"/>
      <c r="R3" s="22"/>
      <c r="S3" s="23">
        <f>Twirling_Solo_SoloDance_Senior_Beginner[[#This Row],[Judge 3
Tea Softić]]-R3</f>
        <v>0</v>
      </c>
      <c r="T3" s="24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Row],[Category]],Twirling_Solo_SoloDance_Senior_Beginner[J3 TOTAL],"&gt;"&amp;Twirling_Solo_SoloDance_Senior_Beginner[[#This Row],[J3 TOTAL]])+1</f>
        <v>1</v>
      </c>
      <c r="U3" s="21"/>
      <c r="V3" s="22"/>
      <c r="W3" s="23">
        <f>Twirling_Solo_SoloDance_Senior_Beginner[[#This Row],[Judge 4
Bernard Barač]]-V3</f>
        <v>0</v>
      </c>
      <c r="X3" s="24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Row],[Category]],Twirling_Solo_SoloDance_Senior_Beginner[J4 TOTAL],"&gt;"&amp;Twirling_Solo_SoloDance_Senior_Beginner[[#This Row],[J4 TOTAL]])+1</f>
        <v>1</v>
      </c>
      <c r="Y3" s="21"/>
      <c r="Z3" s="22"/>
      <c r="AA3" s="23">
        <f>Twirling_Solo_SoloDance_Senior_Beginner[[#This Row],[Judge 5
Barbara Novina]]-Y3</f>
        <v>0</v>
      </c>
      <c r="AB3" s="24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Row],[Category]],Twirling_Solo_SoloDance_Senior_Beginner[J5 TOTAL],"&gt;"&amp;Twirling_Solo_SoloDance_Senior_Beginner[[#This Row],[J5 TOTAL]])+1</f>
        <v>1</v>
      </c>
      <c r="AC3" s="25">
        <f>SUM(Twirling_Solo_SoloDance_Senior_Beginner[[#This Row],[J1 TOTAL]]+Twirling_Solo_SoloDance_Senior_Beginner[[#This Row],[J2 TOTAL]]+Twirling_Solo_SoloDance_Senior_Beginner[[#This Row],[J3 TOTAL]]+Twirling_Solo_SoloDance_Senior_Beginner[[#This Row],[J4 TOTAL]])+Twirling_Solo_SoloDance_Senior_Beginner[[#This Row],[J5 TOTAL]]</f>
        <v>19.600000000000001</v>
      </c>
      <c r="AD3" s="25"/>
      <c r="AE3" s="25"/>
      <c r="AF3" s="25">
        <f>SUM(Twirling_Solo_SoloDance_Senior_Beginner[[#This Row],[Total]]-Twirling_Solo_SoloDance_Senior_Beginner[[#This Row],[Low]]-Twirling_Solo_SoloDance_Senior_Beginner[[#This Row],[High]])</f>
        <v>19.600000000000001</v>
      </c>
      <c r="AG3" s="25">
        <f>AVERAGE(I3,M3,Q3,U3,Y3)</f>
        <v>11.8</v>
      </c>
      <c r="AH3" s="26">
        <f>Twirling_Solo_SoloDance_Senior_Beginner[[#This Row],[Final Total]]</f>
        <v>19.600000000000001</v>
      </c>
      <c r="AI3" s="27">
        <f>COUNTIFS(Twirling_Solo_SoloDance_Senior_Beginner[Age
Division],Twirling_Solo_SoloDance_Senior_Beginner[[#This Row],[Age
Division]],Twirling_Solo_SoloDance_Senior_Beginner[Category],Twirling_Solo_SoloDance_Senior_Beginner[[#This Row],[Category]],Twirling_Solo_SoloDance_Senior_Beginner[FINAL SCORE],"&gt;"&amp;Twirling_Solo_SoloDance_Senior_Beginner[[#This Row],[FINAL SCORE]])+1</f>
        <v>2</v>
      </c>
      <c r="AJ3" s="18" t="s">
        <v>33</v>
      </c>
    </row>
  </sheetData>
  <sheetProtection algorithmName="SHA-512" hashValue="NTd58Nl25Rz2MmtUrGjzcbjcG6CJeASuHsWPyHtKl7k4I1sfE8DVWvulZ9HuE9sVruhHldcoRHWPGLcLTzC5hQ==" saltValue="0SDPpKsHJt4QEaF5Q/Bm5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ADB03-8AD2-4AAC-BA30-06D33E298384}">
  <sheetPr codeName="Sheet2"/>
  <dimension ref="A1:BC6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.21875" style="29" bestFit="1" customWidth="1"/>
    <col min="4" max="4" width="9.6640625" style="30" bestFit="1" customWidth="1"/>
    <col min="5" max="5" width="7.88671875" style="30" bestFit="1" customWidth="1"/>
    <col min="6" max="6" width="14.33203125" style="20" bestFit="1" customWidth="1"/>
    <col min="7" max="7" width="46.21875" style="20" bestFit="1" customWidth="1"/>
    <col min="8" max="8" width="9.6640625" style="20" bestFit="1" customWidth="1"/>
    <col min="9" max="12" width="9.109375" style="20" hidden="1" customWidth="1"/>
    <col min="13" max="20" width="9.109375" style="20" customWidth="1"/>
    <col min="21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2</v>
      </c>
      <c r="B2" s="19">
        <v>2</v>
      </c>
      <c r="C2" s="19" t="s">
        <v>42</v>
      </c>
      <c r="D2" s="19" t="s">
        <v>23</v>
      </c>
      <c r="E2" s="19" t="s">
        <v>51</v>
      </c>
      <c r="F2" s="19" t="s">
        <v>128</v>
      </c>
      <c r="G2" s="19" t="s">
        <v>32</v>
      </c>
      <c r="H2" s="20" t="s">
        <v>25</v>
      </c>
      <c r="I2" s="21"/>
      <c r="J2" s="22"/>
      <c r="K2" s="23">
        <f>Twirling_Solo_F1B_Cadet_Beginner[[#This Row],[Judge 1
Tamara Beljak]]-J2</f>
        <v>0</v>
      </c>
      <c r="L2" s="24">
        <f>COUNTIFS(Twirling_Solo_F1B_Cadet_Beginner[Age
Division],Twirling_Solo_F1B_Cadet_Beginner[[#This Row],[Age
Division]],Twirling_Solo_F1B_Cadet_Beginner[Category],Twirling_Solo_F1B_Cadet_Beginner[[#This Row],[Category]],Twirling_Solo_F1B_Cadet_Beginner[J1 TOTAL],"&gt;"&amp;Twirling_Solo_F1B_Cadet_Beginner[[#This Row],[J1 TOTAL]])+1</f>
        <v>1</v>
      </c>
      <c r="M2" s="21">
        <v>13.7</v>
      </c>
      <c r="N2" s="22">
        <v>0.6</v>
      </c>
      <c r="O2" s="23">
        <f>Twirling_Solo_F1B_Cadet_Beginner[[#This Row],[Judge 2
Tihomir Bendelja]]-Twirling_Solo_F1B_Cadet_Beginner[[#This Row],[J2 (-)]]</f>
        <v>13.1</v>
      </c>
      <c r="P2" s="24">
        <f>COUNTIFS(Twirling_Solo_F1B_Cadet_Beginner[Age
Division],Twirling_Solo_F1B_Cadet_Beginner[[#This Row],[Age
Division]],Twirling_Solo_F1B_Cadet_Beginner[Category],Twirling_Solo_F1B_Cadet_Beginner[[#This Row],[Category]],Twirling_Solo_F1B_Cadet_Beginner[J2 TOTAL],"&gt;"&amp;Twirling_Solo_F1B_Cadet_Beginner[[#This Row],[J2 TOTAL]])+1</f>
        <v>1</v>
      </c>
      <c r="Q2" s="21">
        <v>14</v>
      </c>
      <c r="R2" s="22">
        <v>0.6</v>
      </c>
      <c r="S2" s="23">
        <f>Twirling_Solo_F1B_Cadet_Beginner[[#This Row],[Judge 3
Tea Softić]]-R2</f>
        <v>13.4</v>
      </c>
      <c r="T2" s="24">
        <f>COUNTIFS(Twirling_Solo_F1B_Cadet_Beginner[Age
Division],Twirling_Solo_F1B_Cadet_Beginner[[#This Row],[Age
Division]],Twirling_Solo_F1B_Cadet_Beginner[Category],Twirling_Solo_F1B_Cadet_Beginner[[#This Row],[Category]],Twirling_Solo_F1B_Cadet_Beginner[J3 TOTAL],"&gt;"&amp;Twirling_Solo_F1B_Cadet_Beginner[[#This Row],[J3 TOTAL]])+1</f>
        <v>1</v>
      </c>
      <c r="U2" s="21"/>
      <c r="V2" s="22"/>
      <c r="W2" s="23">
        <f>Twirling_Solo_F1B_Cadet_Beginner[[#This Row],[Judge 4
Bernard Barač]]-V2</f>
        <v>0</v>
      </c>
      <c r="X2" s="24">
        <f>COUNTIFS(Twirling_Solo_F1B_Cadet_Beginner[Age
Division],Twirling_Solo_F1B_Cadet_Beginner[[#This Row],[Age
Division]],Twirling_Solo_F1B_Cadet_Beginner[Category],Twirling_Solo_F1B_Cadet_Beginner[[#This Row],[Category]],Twirling_Solo_F1B_Cadet_Beginner[J4 TOTAL],"&gt;"&amp;Twirling_Solo_F1B_Cadet_Beginner[[#This Row],[J4 TOTAL]])+1</f>
        <v>1</v>
      </c>
      <c r="Y2" s="21"/>
      <c r="Z2" s="22"/>
      <c r="AA2" s="23">
        <f>Twirling_Solo_F1B_Cadet_Beginner[[#This Row],[Judge 5
Barbara Novina]]-Y2</f>
        <v>0</v>
      </c>
      <c r="AB2" s="24">
        <f>COUNTIFS(Twirling_Solo_F1B_Cadet_Beginner[Age
Division],Twirling_Solo_F1B_Cadet_Beginner[[#This Row],[Age
Division]],Twirling_Solo_F1B_Cadet_Beginner[Category],Twirling_Solo_F1B_Cadet_Beginner[[#This Row],[Category]],Twirling_Solo_F1B_Cadet_Beginner[J5 TOTAL],"&gt;"&amp;Twirling_Solo_F1B_Cadet_Beginner[[#This Row],[J5 TOTAL]])+1</f>
        <v>1</v>
      </c>
      <c r="AC2" s="25">
        <f>SUM(Twirling_Solo_F1B_Cadet_Beginner[[#This Row],[J1 TOTAL]]+Twirling_Solo_F1B_Cadet_Beginner[[#This Row],[J2 TOTAL]]+Twirling_Solo_F1B_Cadet_Beginner[[#This Row],[J3 TOTAL]]+Twirling_Solo_F1B_Cadet_Beginner[[#This Row],[J4 TOTAL]])+Twirling_Solo_F1B_Cadet_Beginner[[#This Row],[J5 TOTAL]]</f>
        <v>26.5</v>
      </c>
      <c r="AD2" s="25"/>
      <c r="AE2" s="25"/>
      <c r="AF2" s="25">
        <f>SUM(Twirling_Solo_F1B_Cadet_Beginner[[#This Row],[Total]]-Twirling_Solo_F1B_Cadet_Beginner[[#This Row],[Low]]-Twirling_Solo_F1B_Cadet_Beginner[[#This Row],[High]])</f>
        <v>26.5</v>
      </c>
      <c r="AG2" s="25">
        <f>AVERAGE(I2,M2,Q2,U2,Y2)</f>
        <v>13.85</v>
      </c>
      <c r="AH2" s="26">
        <f>Twirling_Solo_F1B_Cadet_Beginner[[#This Row],[Final Total]]</f>
        <v>26.5</v>
      </c>
      <c r="AI2" s="27">
        <f>COUNTIFS(Twirling_Solo_F1B_Cadet_Beginner[Age
Division],Twirling_Solo_F1B_Cadet_Beginner[[#This Row],[Age
Division]],Twirling_Solo_F1B_Cadet_Beginner[Category],Twirling_Solo_F1B_Cadet_Beginner[[#This Row],[Category]],Twirling_Solo_F1B_Cadet_Beginner[FINAL SCORE],"&gt;"&amp;Twirling_Solo_F1B_Cadet_Beginner[[#This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10</v>
      </c>
      <c r="B3" s="19">
        <v>2</v>
      </c>
      <c r="C3" s="19" t="s">
        <v>42</v>
      </c>
      <c r="D3" s="19" t="s">
        <v>23</v>
      </c>
      <c r="E3" s="19" t="s">
        <v>51</v>
      </c>
      <c r="F3" s="19" t="s">
        <v>130</v>
      </c>
      <c r="G3" s="19" t="s">
        <v>49</v>
      </c>
      <c r="H3" s="20" t="s">
        <v>25</v>
      </c>
      <c r="I3" s="21"/>
      <c r="J3" s="22"/>
      <c r="K3" s="23">
        <f>Twirling_Solo_F1B_Cadet_Beginner[[#This Row],[Judge 1
Tamara Beljak]]-J3</f>
        <v>0</v>
      </c>
      <c r="L3" s="24">
        <f>COUNTIFS(Twirling_Solo_F1B_Cadet_Beginner[Age
Division],Twirling_Solo_F1B_Cadet_Beginner[[#This Row],[Age
Division]],Twirling_Solo_F1B_Cadet_Beginner[Category],Twirling_Solo_F1B_Cadet_Beginner[[#This Row],[Category]],Twirling_Solo_F1B_Cadet_Beginner[J1 TOTAL],"&gt;"&amp;Twirling_Solo_F1B_Cadet_Beginner[[#This Row],[J1 TOTAL]])+1</f>
        <v>1</v>
      </c>
      <c r="M3" s="21">
        <v>13.4</v>
      </c>
      <c r="N3" s="22">
        <v>0.4</v>
      </c>
      <c r="O3" s="23">
        <f>Twirling_Solo_F1B_Cadet_Beginner[[#This Row],[Judge 2
Tihomir Bendelja]]-Twirling_Solo_F1B_Cadet_Beginner[[#This Row],[J2 (-)]]</f>
        <v>13</v>
      </c>
      <c r="P3" s="24">
        <f>COUNTIFS(Twirling_Solo_F1B_Cadet_Beginner[Age
Division],Twirling_Solo_F1B_Cadet_Beginner[[#This Row],[Age
Division]],Twirling_Solo_F1B_Cadet_Beginner[Category],Twirling_Solo_F1B_Cadet_Beginner[[#This Row],[Category]],Twirling_Solo_F1B_Cadet_Beginner[J2 TOTAL],"&gt;"&amp;Twirling_Solo_F1B_Cadet_Beginner[[#This Row],[J2 TOTAL]])+1</f>
        <v>2</v>
      </c>
      <c r="Q3" s="21">
        <v>13.7</v>
      </c>
      <c r="R3" s="22">
        <v>0.4</v>
      </c>
      <c r="S3" s="23">
        <f>Twirling_Solo_F1B_Cadet_Beginner[[#This Row],[Judge 3
Tea Softić]]-R3</f>
        <v>13.299999999999999</v>
      </c>
      <c r="T3" s="24">
        <f>COUNTIFS(Twirling_Solo_F1B_Cadet_Beginner[Age
Division],Twirling_Solo_F1B_Cadet_Beginner[[#This Row],[Age
Division]],Twirling_Solo_F1B_Cadet_Beginner[Category],Twirling_Solo_F1B_Cadet_Beginner[[#This Row],[Category]],Twirling_Solo_F1B_Cadet_Beginner[J3 TOTAL],"&gt;"&amp;Twirling_Solo_F1B_Cadet_Beginner[[#This Row],[J3 TOTAL]])+1</f>
        <v>2</v>
      </c>
      <c r="U3" s="21"/>
      <c r="V3" s="22"/>
      <c r="W3" s="23">
        <f>Twirling_Solo_F1B_Cadet_Beginner[[#This Row],[Judge 4
Bernard Barač]]-V3</f>
        <v>0</v>
      </c>
      <c r="X3" s="24">
        <f>COUNTIFS(Twirling_Solo_F1B_Cadet_Beginner[Age
Division],Twirling_Solo_F1B_Cadet_Beginner[[#This Row],[Age
Division]],Twirling_Solo_F1B_Cadet_Beginner[Category],Twirling_Solo_F1B_Cadet_Beginner[[#This Row],[Category]],Twirling_Solo_F1B_Cadet_Beginner[J4 TOTAL],"&gt;"&amp;Twirling_Solo_F1B_Cadet_Beginner[[#This Row],[J4 TOTAL]])+1</f>
        <v>1</v>
      </c>
      <c r="Y3" s="21"/>
      <c r="Z3" s="22"/>
      <c r="AA3" s="23">
        <f>Twirling_Solo_F1B_Cadet_Beginner[[#This Row],[Judge 5
Barbara Novina]]-Y3</f>
        <v>0</v>
      </c>
      <c r="AB3" s="24">
        <f>COUNTIFS(Twirling_Solo_F1B_Cadet_Beginner[Age
Division],Twirling_Solo_F1B_Cadet_Beginner[[#This Row],[Age
Division]],Twirling_Solo_F1B_Cadet_Beginner[Category],Twirling_Solo_F1B_Cadet_Beginner[[#This Row],[Category]],Twirling_Solo_F1B_Cadet_Beginner[J5 TOTAL],"&gt;"&amp;Twirling_Solo_F1B_Cadet_Beginner[[#This Row],[J5 TOTAL]])+1</f>
        <v>1</v>
      </c>
      <c r="AC3" s="25">
        <f>SUM(Twirling_Solo_F1B_Cadet_Beginner[[#This Row],[J1 TOTAL]]+Twirling_Solo_F1B_Cadet_Beginner[[#This Row],[J2 TOTAL]]+Twirling_Solo_F1B_Cadet_Beginner[[#This Row],[J3 TOTAL]]+Twirling_Solo_F1B_Cadet_Beginner[[#This Row],[J4 TOTAL]])+Twirling_Solo_F1B_Cadet_Beginner[[#This Row],[J5 TOTAL]]</f>
        <v>26.299999999999997</v>
      </c>
      <c r="AD3" s="25"/>
      <c r="AE3" s="25"/>
      <c r="AF3" s="25">
        <f>SUM(Twirling_Solo_F1B_Cadet_Beginner[[#This Row],[Total]]-Twirling_Solo_F1B_Cadet_Beginner[[#This Row],[Low]]-Twirling_Solo_F1B_Cadet_Beginner[[#This Row],[High]])</f>
        <v>26.299999999999997</v>
      </c>
      <c r="AG3" s="25">
        <f>AVERAGE(I3,M3,Q3,U3,Y3)</f>
        <v>13.55</v>
      </c>
      <c r="AH3" s="26">
        <f>Twirling_Solo_F1B_Cadet_Beginner[[#This Row],[Final Total]]</f>
        <v>26.299999999999997</v>
      </c>
      <c r="AI3" s="28">
        <f>COUNTIFS(Twirling_Solo_F1B_Cadet_Beginner[Age
Division],Twirling_Solo_F1B_Cadet_Beginner[[#This Row],[Age
Division]],Twirling_Solo_F1B_Cadet_Beginner[Category],Twirling_Solo_F1B_Cadet_Beginner[[#This Row],[Category]],Twirling_Solo_F1B_Cadet_Beginner[FINAL SCORE],"&gt;"&amp;Twirling_Solo_F1B_Cadet_Beginner[[#This Row],[FINAL SCORE]])+1</f>
        <v>2</v>
      </c>
      <c r="AJ3" s="18" t="s">
        <v>33</v>
      </c>
    </row>
    <row r="4" spans="1:55" ht="15.6" x14ac:dyDescent="0.3">
      <c r="A4" s="18">
        <v>4</v>
      </c>
      <c r="B4" s="19">
        <v>2</v>
      </c>
      <c r="C4" s="19" t="s">
        <v>42</v>
      </c>
      <c r="D4" s="19" t="s">
        <v>23</v>
      </c>
      <c r="E4" s="19" t="s">
        <v>51</v>
      </c>
      <c r="F4" s="19" t="s">
        <v>54</v>
      </c>
      <c r="G4" s="19" t="s">
        <v>24</v>
      </c>
      <c r="H4" s="20" t="s">
        <v>25</v>
      </c>
      <c r="I4" s="21"/>
      <c r="J4" s="22"/>
      <c r="K4" s="23">
        <f>Twirling_Solo_F1B_Cadet_Beginner[[#This Row],[Judge 1
Tamara Beljak]]-J4</f>
        <v>0</v>
      </c>
      <c r="L4" s="24">
        <f>COUNTIFS(Twirling_Solo_F1B_Cadet_Beginner[Age
Division],Twirling_Solo_F1B_Cadet_Beginner[[#This Row],[Age
Division]],Twirling_Solo_F1B_Cadet_Beginner[Category],Twirling_Solo_F1B_Cadet_Beginner[[#This Row],[Category]],Twirling_Solo_F1B_Cadet_Beginner[J1 TOTAL],"&gt;"&amp;Twirling_Solo_F1B_Cadet_Beginner[[#This Row],[J1 TOTAL]])+1</f>
        <v>1</v>
      </c>
      <c r="M4" s="21">
        <v>10.7</v>
      </c>
      <c r="N4" s="22">
        <v>0.1</v>
      </c>
      <c r="O4" s="23">
        <f>Twirling_Solo_F1B_Cadet_Beginner[[#This Row],[Judge 2
Tihomir Bendelja]]-Twirling_Solo_F1B_Cadet_Beginner[[#This Row],[J2 (-)]]</f>
        <v>10.6</v>
      </c>
      <c r="P4" s="24">
        <f>COUNTIFS(Twirling_Solo_F1B_Cadet_Beginner[Age
Division],Twirling_Solo_F1B_Cadet_Beginner[[#This Row],[Age
Division]],Twirling_Solo_F1B_Cadet_Beginner[Category],Twirling_Solo_F1B_Cadet_Beginner[[#This Row],[Category]],Twirling_Solo_F1B_Cadet_Beginner[J2 TOTAL],"&gt;"&amp;Twirling_Solo_F1B_Cadet_Beginner[[#This Row],[J2 TOTAL]])+1</f>
        <v>3</v>
      </c>
      <c r="Q4" s="21">
        <v>10.9</v>
      </c>
      <c r="R4" s="22">
        <v>0.1</v>
      </c>
      <c r="S4" s="23">
        <f>Twirling_Solo_F1B_Cadet_Beginner[[#This Row],[Judge 3
Tea Softić]]-R4</f>
        <v>10.8</v>
      </c>
      <c r="T4" s="24">
        <f>COUNTIFS(Twirling_Solo_F1B_Cadet_Beginner[Age
Division],Twirling_Solo_F1B_Cadet_Beginner[[#This Row],[Age
Division]],Twirling_Solo_F1B_Cadet_Beginner[Category],Twirling_Solo_F1B_Cadet_Beginner[[#This Row],[Category]],Twirling_Solo_F1B_Cadet_Beginner[J3 TOTAL],"&gt;"&amp;Twirling_Solo_F1B_Cadet_Beginner[[#This Row],[J3 TOTAL]])+1</f>
        <v>3</v>
      </c>
      <c r="U4" s="21"/>
      <c r="V4" s="22"/>
      <c r="W4" s="23">
        <f>Twirling_Solo_F1B_Cadet_Beginner[[#This Row],[Judge 4
Bernard Barač]]-V4</f>
        <v>0</v>
      </c>
      <c r="X4" s="24">
        <f>COUNTIFS(Twirling_Solo_F1B_Cadet_Beginner[Age
Division],Twirling_Solo_F1B_Cadet_Beginner[[#This Row],[Age
Division]],Twirling_Solo_F1B_Cadet_Beginner[Category],Twirling_Solo_F1B_Cadet_Beginner[[#This Row],[Category]],Twirling_Solo_F1B_Cadet_Beginner[J4 TOTAL],"&gt;"&amp;Twirling_Solo_F1B_Cadet_Beginner[[#This Row],[J4 TOTAL]])+1</f>
        <v>1</v>
      </c>
      <c r="Y4" s="21"/>
      <c r="Z4" s="22"/>
      <c r="AA4" s="23">
        <f>Twirling_Solo_F1B_Cadet_Beginner[[#This Row],[Judge 5
Barbara Novina]]-Y4</f>
        <v>0</v>
      </c>
      <c r="AB4" s="24">
        <f>COUNTIFS(Twirling_Solo_F1B_Cadet_Beginner[Age
Division],Twirling_Solo_F1B_Cadet_Beginner[[#This Row],[Age
Division]],Twirling_Solo_F1B_Cadet_Beginner[Category],Twirling_Solo_F1B_Cadet_Beginner[[#This Row],[Category]],Twirling_Solo_F1B_Cadet_Beginner[J5 TOTAL],"&gt;"&amp;Twirling_Solo_F1B_Cadet_Beginner[[#This Row],[J5 TOTAL]])+1</f>
        <v>1</v>
      </c>
      <c r="AC4" s="25">
        <f>SUM(Twirling_Solo_F1B_Cadet_Beginner[[#This Row],[J1 TOTAL]]+Twirling_Solo_F1B_Cadet_Beginner[[#This Row],[J2 TOTAL]]+Twirling_Solo_F1B_Cadet_Beginner[[#This Row],[J3 TOTAL]]+Twirling_Solo_F1B_Cadet_Beginner[[#This Row],[J4 TOTAL]])+Twirling_Solo_F1B_Cadet_Beginner[[#This Row],[J5 TOTAL]]</f>
        <v>21.4</v>
      </c>
      <c r="AD4" s="25"/>
      <c r="AE4" s="25"/>
      <c r="AF4" s="25">
        <f>SUM(Twirling_Solo_F1B_Cadet_Beginner[[#This Row],[Total]]-Twirling_Solo_F1B_Cadet_Beginner[[#This Row],[Low]]-Twirling_Solo_F1B_Cadet_Beginner[[#This Row],[High]])</f>
        <v>21.4</v>
      </c>
      <c r="AG4" s="25">
        <f>AVERAGE(I4,M4,Q4,U4,Y4)</f>
        <v>10.8</v>
      </c>
      <c r="AH4" s="26">
        <f>Twirling_Solo_F1B_Cadet_Beginner[[#This Row],[Final Total]]</f>
        <v>21.4</v>
      </c>
      <c r="AI4" s="28">
        <f>COUNTIFS(Twirling_Solo_F1B_Cadet_Beginner[Age
Division],Twirling_Solo_F1B_Cadet_Beginner[[#This Row],[Age
Division]],Twirling_Solo_F1B_Cadet_Beginner[Category],Twirling_Solo_F1B_Cadet_Beginner[[#This Row],[Category]],Twirling_Solo_F1B_Cadet_Beginner[FINAL SCORE],"&gt;"&amp;Twirling_Solo_F1B_Cadet_Beginner[[#This Row],[FINAL SCORE]])+1</f>
        <v>3</v>
      </c>
      <c r="AJ4" s="18" t="s">
        <v>33</v>
      </c>
    </row>
    <row r="5" spans="1:55" ht="15.6" x14ac:dyDescent="0.3">
      <c r="A5" s="18">
        <v>6</v>
      </c>
      <c r="B5" s="19">
        <v>2</v>
      </c>
      <c r="C5" s="19" t="s">
        <v>42</v>
      </c>
      <c r="D5" s="19" t="s">
        <v>23</v>
      </c>
      <c r="E5" s="19" t="s">
        <v>51</v>
      </c>
      <c r="F5" s="19" t="s">
        <v>129</v>
      </c>
      <c r="G5" s="19" t="s">
        <v>49</v>
      </c>
      <c r="H5" s="20" t="s">
        <v>25</v>
      </c>
      <c r="I5" s="21"/>
      <c r="J5" s="22"/>
      <c r="K5" s="23">
        <f>Twirling_Solo_F1B_Cadet_Beginner[[#This Row],[Judge 1
Tamara Beljak]]-J5</f>
        <v>0</v>
      </c>
      <c r="L5" s="24">
        <f>COUNTIFS(Twirling_Solo_F1B_Cadet_Beginner[Age
Division],Twirling_Solo_F1B_Cadet_Beginner[[#This Row],[Age
Division]],Twirling_Solo_F1B_Cadet_Beginner[Category],Twirling_Solo_F1B_Cadet_Beginner[[#This Row],[Category]],Twirling_Solo_F1B_Cadet_Beginner[J1 TOTAL],"&gt;"&amp;Twirling_Solo_F1B_Cadet_Beginner[[#This Row],[J1 TOTAL]])+1</f>
        <v>1</v>
      </c>
      <c r="M5" s="21">
        <v>10.5</v>
      </c>
      <c r="N5" s="22">
        <v>0.4</v>
      </c>
      <c r="O5" s="23">
        <f>Twirling_Solo_F1B_Cadet_Beginner[[#This Row],[Judge 2
Tihomir Bendelja]]-Twirling_Solo_F1B_Cadet_Beginner[[#This Row],[J2 (-)]]</f>
        <v>10.1</v>
      </c>
      <c r="P5" s="24">
        <f>COUNTIFS(Twirling_Solo_F1B_Cadet_Beginner[Age
Division],Twirling_Solo_F1B_Cadet_Beginner[[#This Row],[Age
Division]],Twirling_Solo_F1B_Cadet_Beginner[Category],Twirling_Solo_F1B_Cadet_Beginner[[#This Row],[Category]],Twirling_Solo_F1B_Cadet_Beginner[J2 TOTAL],"&gt;"&amp;Twirling_Solo_F1B_Cadet_Beginner[[#This Row],[J2 TOTAL]])+1</f>
        <v>4</v>
      </c>
      <c r="Q5" s="21">
        <v>11</v>
      </c>
      <c r="R5" s="22">
        <v>0.4</v>
      </c>
      <c r="S5" s="23">
        <f>Twirling_Solo_F1B_Cadet_Beginner[[#This Row],[Judge 3
Tea Softić]]-R5</f>
        <v>10.6</v>
      </c>
      <c r="T5" s="24">
        <f>COUNTIFS(Twirling_Solo_F1B_Cadet_Beginner[Age
Division],Twirling_Solo_F1B_Cadet_Beginner[[#This Row],[Age
Division]],Twirling_Solo_F1B_Cadet_Beginner[Category],Twirling_Solo_F1B_Cadet_Beginner[[#This Row],[Category]],Twirling_Solo_F1B_Cadet_Beginner[J3 TOTAL],"&gt;"&amp;Twirling_Solo_F1B_Cadet_Beginner[[#This Row],[J3 TOTAL]])+1</f>
        <v>4</v>
      </c>
      <c r="U5" s="21"/>
      <c r="V5" s="22"/>
      <c r="W5" s="23">
        <f>Twirling_Solo_F1B_Cadet_Beginner[[#This Row],[Judge 4
Bernard Barač]]-V5</f>
        <v>0</v>
      </c>
      <c r="X5" s="24">
        <f>COUNTIFS(Twirling_Solo_F1B_Cadet_Beginner[Age
Division],Twirling_Solo_F1B_Cadet_Beginner[[#This Row],[Age
Division]],Twirling_Solo_F1B_Cadet_Beginner[Category],Twirling_Solo_F1B_Cadet_Beginner[[#This Row],[Category]],Twirling_Solo_F1B_Cadet_Beginner[J4 TOTAL],"&gt;"&amp;Twirling_Solo_F1B_Cadet_Beginner[[#This Row],[J4 TOTAL]])+1</f>
        <v>1</v>
      </c>
      <c r="Y5" s="21"/>
      <c r="Z5" s="22"/>
      <c r="AA5" s="23">
        <f>Twirling_Solo_F1B_Cadet_Beginner[[#This Row],[Judge 5
Barbara Novina]]-Y5</f>
        <v>0</v>
      </c>
      <c r="AB5" s="24">
        <f>COUNTIFS(Twirling_Solo_F1B_Cadet_Beginner[Age
Division],Twirling_Solo_F1B_Cadet_Beginner[[#This Row],[Age
Division]],Twirling_Solo_F1B_Cadet_Beginner[Category],Twirling_Solo_F1B_Cadet_Beginner[[#This Row],[Category]],Twirling_Solo_F1B_Cadet_Beginner[J5 TOTAL],"&gt;"&amp;Twirling_Solo_F1B_Cadet_Beginner[[#This Row],[J5 TOTAL]])+1</f>
        <v>1</v>
      </c>
      <c r="AC5" s="25">
        <f>SUM(Twirling_Solo_F1B_Cadet_Beginner[[#This Row],[J1 TOTAL]]+Twirling_Solo_F1B_Cadet_Beginner[[#This Row],[J2 TOTAL]]+Twirling_Solo_F1B_Cadet_Beginner[[#This Row],[J3 TOTAL]]+Twirling_Solo_F1B_Cadet_Beginner[[#This Row],[J4 TOTAL]])+Twirling_Solo_F1B_Cadet_Beginner[[#This Row],[J5 TOTAL]]</f>
        <v>20.7</v>
      </c>
      <c r="AD5" s="25"/>
      <c r="AE5" s="25"/>
      <c r="AF5" s="25">
        <f>SUM(Twirling_Solo_F1B_Cadet_Beginner[[#This Row],[Total]]-Twirling_Solo_F1B_Cadet_Beginner[[#This Row],[Low]]-Twirling_Solo_F1B_Cadet_Beginner[[#This Row],[High]])</f>
        <v>20.7</v>
      </c>
      <c r="AG5" s="25">
        <f>AVERAGE(I5,M5,Q5,U5,Y5)</f>
        <v>10.75</v>
      </c>
      <c r="AH5" s="26">
        <f>Twirling_Solo_F1B_Cadet_Beginner[[#This Row],[Final Total]]</f>
        <v>20.7</v>
      </c>
      <c r="AI5" s="28">
        <f>COUNTIFS(Twirling_Solo_F1B_Cadet_Beginner[Age
Division],Twirling_Solo_F1B_Cadet_Beginner[[#This Row],[Age
Division]],Twirling_Solo_F1B_Cadet_Beginner[Category],Twirling_Solo_F1B_Cadet_Beginner[[#This Row],[Category]],Twirling_Solo_F1B_Cadet_Beginner[FINAL SCORE],"&gt;"&amp;Twirling_Solo_F1B_Cadet_Beginner[[#This Row],[FINAL SCORE]])+1</f>
        <v>4</v>
      </c>
      <c r="AJ5" s="18" t="s">
        <v>33</v>
      </c>
    </row>
    <row r="6" spans="1:55" ht="15.6" x14ac:dyDescent="0.3">
      <c r="A6" s="18">
        <v>8</v>
      </c>
      <c r="B6" s="19">
        <v>2</v>
      </c>
      <c r="C6" s="19" t="s">
        <v>42</v>
      </c>
      <c r="D6" s="19" t="s">
        <v>23</v>
      </c>
      <c r="E6" s="19" t="s">
        <v>51</v>
      </c>
      <c r="F6" s="19" t="s">
        <v>55</v>
      </c>
      <c r="G6" s="19" t="s">
        <v>49</v>
      </c>
      <c r="H6" s="20" t="s">
        <v>25</v>
      </c>
      <c r="I6" s="21"/>
      <c r="J6" s="22"/>
      <c r="K6" s="23">
        <f>Twirling_Solo_F1B_Cadet_Beginner[[#This Row],[Judge 1
Tamara Beljak]]-J6</f>
        <v>0</v>
      </c>
      <c r="L6" s="24">
        <f>COUNTIFS(Twirling_Solo_F1B_Cadet_Beginner[Age
Division],Twirling_Solo_F1B_Cadet_Beginner[[#This Row],[Age
Division]],Twirling_Solo_F1B_Cadet_Beginner[Category],Twirling_Solo_F1B_Cadet_Beginner[[#This Row],[Category]],Twirling_Solo_F1B_Cadet_Beginner[J1 TOTAL],"&gt;"&amp;Twirling_Solo_F1B_Cadet_Beginner[[#This Row],[J1 TOTAL]])+1</f>
        <v>1</v>
      </c>
      <c r="M6" s="21">
        <v>10.8</v>
      </c>
      <c r="N6" s="22">
        <v>0.8</v>
      </c>
      <c r="O6" s="23">
        <f>Twirling_Solo_F1B_Cadet_Beginner[[#This Row],[Judge 2
Tihomir Bendelja]]-Twirling_Solo_F1B_Cadet_Beginner[[#This Row],[J2 (-)]]</f>
        <v>10</v>
      </c>
      <c r="P6" s="24">
        <f>COUNTIFS(Twirling_Solo_F1B_Cadet_Beginner[Age
Division],Twirling_Solo_F1B_Cadet_Beginner[[#This Row],[Age
Division]],Twirling_Solo_F1B_Cadet_Beginner[Category],Twirling_Solo_F1B_Cadet_Beginner[[#This Row],[Category]],Twirling_Solo_F1B_Cadet_Beginner[J2 TOTAL],"&gt;"&amp;Twirling_Solo_F1B_Cadet_Beginner[[#This Row],[J2 TOTAL]])+1</f>
        <v>5</v>
      </c>
      <c r="Q6" s="21">
        <v>10.8</v>
      </c>
      <c r="R6" s="22">
        <v>0.8</v>
      </c>
      <c r="S6" s="23">
        <f>Twirling_Solo_F1B_Cadet_Beginner[[#This Row],[Judge 3
Tea Softić]]-R6</f>
        <v>10</v>
      </c>
      <c r="T6" s="24">
        <f>COUNTIFS(Twirling_Solo_F1B_Cadet_Beginner[Age
Division],Twirling_Solo_F1B_Cadet_Beginner[[#This Row],[Age
Division]],Twirling_Solo_F1B_Cadet_Beginner[Category],Twirling_Solo_F1B_Cadet_Beginner[[#This Row],[Category]],Twirling_Solo_F1B_Cadet_Beginner[J3 TOTAL],"&gt;"&amp;Twirling_Solo_F1B_Cadet_Beginner[[#This Row],[J3 TOTAL]])+1</f>
        <v>5</v>
      </c>
      <c r="U6" s="21"/>
      <c r="V6" s="22"/>
      <c r="W6" s="23">
        <f>Twirling_Solo_F1B_Cadet_Beginner[[#This Row],[Judge 4
Bernard Barač]]-V6</f>
        <v>0</v>
      </c>
      <c r="X6" s="24">
        <f>COUNTIFS(Twirling_Solo_F1B_Cadet_Beginner[Age
Division],Twirling_Solo_F1B_Cadet_Beginner[[#This Row],[Age
Division]],Twirling_Solo_F1B_Cadet_Beginner[Category],Twirling_Solo_F1B_Cadet_Beginner[[#This Row],[Category]],Twirling_Solo_F1B_Cadet_Beginner[J4 TOTAL],"&gt;"&amp;Twirling_Solo_F1B_Cadet_Beginner[[#This Row],[J4 TOTAL]])+1</f>
        <v>1</v>
      </c>
      <c r="Y6" s="21"/>
      <c r="Z6" s="22"/>
      <c r="AA6" s="23">
        <f>Twirling_Solo_F1B_Cadet_Beginner[[#This Row],[Judge 5
Barbara Novina]]-Y6</f>
        <v>0</v>
      </c>
      <c r="AB6" s="24">
        <f>COUNTIFS(Twirling_Solo_F1B_Cadet_Beginner[Age
Division],Twirling_Solo_F1B_Cadet_Beginner[[#This Row],[Age
Division]],Twirling_Solo_F1B_Cadet_Beginner[Category],Twirling_Solo_F1B_Cadet_Beginner[[#This Row],[Category]],Twirling_Solo_F1B_Cadet_Beginner[J5 TOTAL],"&gt;"&amp;Twirling_Solo_F1B_Cadet_Beginner[[#This Row],[J5 TOTAL]])+1</f>
        <v>1</v>
      </c>
      <c r="AC6" s="25">
        <f>SUM(Twirling_Solo_F1B_Cadet_Beginner[[#This Row],[J1 TOTAL]]+Twirling_Solo_F1B_Cadet_Beginner[[#This Row],[J2 TOTAL]]+Twirling_Solo_F1B_Cadet_Beginner[[#This Row],[J3 TOTAL]]+Twirling_Solo_F1B_Cadet_Beginner[[#This Row],[J4 TOTAL]])+Twirling_Solo_F1B_Cadet_Beginner[[#This Row],[J5 TOTAL]]</f>
        <v>20</v>
      </c>
      <c r="AD6" s="25"/>
      <c r="AE6" s="25"/>
      <c r="AF6" s="25">
        <f>SUM(Twirling_Solo_F1B_Cadet_Beginner[[#This Row],[Total]]-Twirling_Solo_F1B_Cadet_Beginner[[#This Row],[Low]]-Twirling_Solo_F1B_Cadet_Beginner[[#This Row],[High]])</f>
        <v>20</v>
      </c>
      <c r="AG6" s="25">
        <f>AVERAGE(I6,M6,Q6,U6,Y6)</f>
        <v>10.8</v>
      </c>
      <c r="AH6" s="26">
        <f>Twirling_Solo_F1B_Cadet_Beginner[[#This Row],[Final Total]]</f>
        <v>20</v>
      </c>
      <c r="AI6" s="28">
        <f>COUNTIFS(Twirling_Solo_F1B_Cadet_Beginner[Age
Division],Twirling_Solo_F1B_Cadet_Beginner[[#This Row],[Age
Division]],Twirling_Solo_F1B_Cadet_Beginner[Category],Twirling_Solo_F1B_Cadet_Beginner[[#This Row],[Category]],Twirling_Solo_F1B_Cadet_Beginner[FINAL SCORE],"&gt;"&amp;Twirling_Solo_F1B_Cadet_Beginner[[#This Row],[FINAL SCORE]])+1</f>
        <v>5</v>
      </c>
      <c r="AJ6" s="18" t="s">
        <v>33</v>
      </c>
    </row>
  </sheetData>
  <sheetProtection algorithmName="SHA-512" hashValue="sX9faf4ypAxBI0EJ3KIPUkbQoJOn9JcQwzqJYXVpmowMaLHKsgfigNPms4FwZczENXKGdOEfQTLsj1vIkdICRg==" saltValue="Dj+DrBNTYy17esMQsk0Ef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B581B-5078-4E74-A32C-E753A8071A1C}">
  <sheetPr codeName="Sheet23"/>
  <dimension ref="A1:BC3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88671875" style="29" customWidth="1"/>
    <col min="4" max="4" width="7.21875" style="30" customWidth="1"/>
    <col min="5" max="5" width="10.6640625" style="30" customWidth="1"/>
    <col min="6" max="6" width="10.44140625" style="20" customWidth="1"/>
    <col min="7" max="7" width="39.77734375" style="20" customWidth="1"/>
    <col min="8" max="8" width="8.33203125" style="20" customWidth="1"/>
    <col min="9" max="16" width="9.109375" style="20" customWidth="1"/>
    <col min="17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127</v>
      </c>
      <c r="B2" s="19">
        <v>1</v>
      </c>
      <c r="C2" s="19" t="s">
        <v>82</v>
      </c>
      <c r="D2" s="19" t="s">
        <v>29</v>
      </c>
      <c r="E2" s="19" t="s">
        <v>75</v>
      </c>
      <c r="F2" s="19" t="s">
        <v>71</v>
      </c>
      <c r="G2" s="19" t="s">
        <v>67</v>
      </c>
      <c r="H2" s="20" t="s">
        <v>25</v>
      </c>
      <c r="I2" s="21">
        <v>43.1</v>
      </c>
      <c r="J2" s="22">
        <v>2</v>
      </c>
      <c r="K2" s="23">
        <f>Twirling_Solo_SoloDance_Senior_Professional[[#This Row],[Judge 1
Tamara Beljak]]-J2</f>
        <v>41.1</v>
      </c>
      <c r="L2" s="24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Row],[Category]],Twirling_Solo_SoloDance_Senior_Professional[J1 TOTAL],"&gt;"&amp;Twirling_Solo_SoloDance_Senior_Professional[[#This Row],[J1 TOTAL]])+1</f>
        <v>1</v>
      </c>
      <c r="M2" s="21">
        <v>41.8</v>
      </c>
      <c r="N2" s="22">
        <v>2</v>
      </c>
      <c r="O2" s="23">
        <f>Twirling_Solo_SoloDance_Senior_Professional[[#This Row],[Judge 2
Tihomir Bendelja]]-Twirling_Solo_SoloDance_Senior_Professional[[#This Row],[J2 (-)]]</f>
        <v>39.799999999999997</v>
      </c>
      <c r="P2" s="24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Row],[Category]],Twirling_Solo_SoloDance_Senior_Professional[J2 TOTAL],"&gt;"&amp;Twirling_Solo_SoloDance_Senior_Professional[[#This Row],[J2 TOTAL]])+1</f>
        <v>1</v>
      </c>
      <c r="Q2" s="21"/>
      <c r="R2" s="22"/>
      <c r="S2" s="23">
        <f>Twirling_Solo_SoloDance_Senior_Professional[[#This Row],[Judge 3
Tea Softić]]-R2</f>
        <v>0</v>
      </c>
      <c r="T2" s="24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Row],[Category]],Twirling_Solo_SoloDance_Senior_Professional[J3 TOTAL],"&gt;"&amp;Twirling_Solo_SoloDance_Senior_Professional[[#This Row],[J3 TOTAL]])+1</f>
        <v>1</v>
      </c>
      <c r="U2" s="21"/>
      <c r="V2" s="22"/>
      <c r="W2" s="23">
        <f>Twirling_Solo_SoloDance_Senior_Professional[[#This Row],[Judge 4
Bernard Barač]]-V2</f>
        <v>0</v>
      </c>
      <c r="X2" s="24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Row],[Category]],Twirling_Solo_SoloDance_Senior_Professional[J4 TOTAL],"&gt;"&amp;Twirling_Solo_SoloDance_Senior_Professional[[#This Row],[J4 TOTAL]])+1</f>
        <v>1</v>
      </c>
      <c r="Y2" s="21"/>
      <c r="Z2" s="22"/>
      <c r="AA2" s="23">
        <f>Twirling_Solo_SoloDance_Senior_Professional[[#This Row],[Judge 5
Barbara Novina]]-Y2</f>
        <v>0</v>
      </c>
      <c r="AB2" s="24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Row],[Category]],Twirling_Solo_SoloDance_Senior_Professional[J5 TOTAL],"&gt;"&amp;Twirling_Solo_SoloDance_Senior_Professional[[#This Row],[J5 TOTAL]])+1</f>
        <v>1</v>
      </c>
      <c r="AC2" s="25">
        <f>SUM(Twirling_Solo_SoloDance_Senior_Professional[[#This Row],[J1 TOTAL]]+Twirling_Solo_SoloDance_Senior_Professional[[#This Row],[J2 TOTAL]]+Twirling_Solo_SoloDance_Senior_Professional[[#This Row],[J3 TOTAL]]+Twirling_Solo_SoloDance_Senior_Professional[[#This Row],[J4 TOTAL]])+Twirling_Solo_SoloDance_Senior_Professional[[#This Row],[J5 TOTAL]]</f>
        <v>80.900000000000006</v>
      </c>
      <c r="AD2" s="25"/>
      <c r="AE2" s="25"/>
      <c r="AF2" s="25">
        <f>SUM(Twirling_Solo_SoloDance_Senior_Professional[[#This Row],[Total]]-Twirling_Solo_SoloDance_Senior_Professional[[#This Row],[Low]]-Twirling_Solo_SoloDance_Senior_Professional[[#This Row],[High]])</f>
        <v>80.900000000000006</v>
      </c>
      <c r="AG2" s="25">
        <f>AVERAGE(I2,M2,Q2,U2,Y2)</f>
        <v>42.45</v>
      </c>
      <c r="AH2" s="26">
        <f>Twirling_Solo_SoloDance_Senior_Professional[[#This Row],[Final Total]]</f>
        <v>80.900000000000006</v>
      </c>
      <c r="AI2" s="27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Row],[Category]],Twirling_Solo_SoloDance_Senior_Professional[FINAL SCORE],"&gt;"&amp;Twirling_Solo_SoloDance_Senior_Professional[[#This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48">
        <v>129</v>
      </c>
      <c r="B3" s="49">
        <v>1</v>
      </c>
      <c r="C3" s="49" t="s">
        <v>82</v>
      </c>
      <c r="D3" s="49" t="s">
        <v>29</v>
      </c>
      <c r="E3" s="49" t="s">
        <v>75</v>
      </c>
      <c r="F3" s="49" t="s">
        <v>79</v>
      </c>
      <c r="G3" s="49" t="s">
        <v>67</v>
      </c>
      <c r="H3" s="50" t="s">
        <v>25</v>
      </c>
      <c r="I3" s="51"/>
      <c r="J3" s="51"/>
      <c r="K3" s="51">
        <f>Twirling_Solo_SoloDance_Senior_Professional[[#This Row],[Judge 1
Tamara Beljak]]-J3</f>
        <v>0</v>
      </c>
      <c r="L3" s="52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Row],[Category]],Twirling_Solo_SoloDance_Senior_Professional[J1 TOTAL],"&gt;"&amp;Twirling_Solo_SoloDance_Senior_Professional[[#This Row],[J1 TOTAL]])+1</f>
        <v>2</v>
      </c>
      <c r="M3" s="51"/>
      <c r="N3" s="51"/>
      <c r="O3" s="51">
        <f>Twirling_Solo_SoloDance_Senior_Professional[[#This Row],[Judge 2
Tihomir Bendelja]]-Twirling_Solo_SoloDance_Senior_Professional[[#This Row],[J2 (-)]]</f>
        <v>0</v>
      </c>
      <c r="P3" s="52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Row],[Category]],Twirling_Solo_SoloDance_Senior_Professional[J2 TOTAL],"&gt;"&amp;Twirling_Solo_SoloDance_Senior_Professional[[#This Row],[J2 TOTAL]])+1</f>
        <v>2</v>
      </c>
      <c r="Q3" s="51"/>
      <c r="R3" s="51"/>
      <c r="S3" s="51">
        <f>Twirling_Solo_SoloDance_Senior_Professional[[#This Row],[Judge 3
Tea Softić]]-R3</f>
        <v>0</v>
      </c>
      <c r="T3" s="52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Row],[Category]],Twirling_Solo_SoloDance_Senior_Professional[J3 TOTAL],"&gt;"&amp;Twirling_Solo_SoloDance_Senior_Professional[[#This Row],[J3 TOTAL]])+1</f>
        <v>1</v>
      </c>
      <c r="U3" s="51"/>
      <c r="V3" s="51"/>
      <c r="W3" s="51">
        <f>Twirling_Solo_SoloDance_Senior_Professional[[#This Row],[Judge 4
Bernard Barač]]-V3</f>
        <v>0</v>
      </c>
      <c r="X3" s="52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Row],[Category]],Twirling_Solo_SoloDance_Senior_Professional[J4 TOTAL],"&gt;"&amp;Twirling_Solo_SoloDance_Senior_Professional[[#This Row],[J4 TOTAL]])+1</f>
        <v>1</v>
      </c>
      <c r="Y3" s="51"/>
      <c r="Z3" s="51"/>
      <c r="AA3" s="51">
        <f>Twirling_Solo_SoloDance_Senior_Professional[[#This Row],[Judge 5
Barbara Novina]]-Y3</f>
        <v>0</v>
      </c>
      <c r="AB3" s="52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Row],[Category]],Twirling_Solo_SoloDance_Senior_Professional[J5 TOTAL],"&gt;"&amp;Twirling_Solo_SoloDance_Senior_Professional[[#This Row],[J5 TOTAL]])+1</f>
        <v>1</v>
      </c>
      <c r="AC3" s="51">
        <f>SUM(Twirling_Solo_SoloDance_Senior_Professional[[#This Row],[J1 TOTAL]]+Twirling_Solo_SoloDance_Senior_Professional[[#This Row],[J2 TOTAL]]+Twirling_Solo_SoloDance_Senior_Professional[[#This Row],[J3 TOTAL]]+Twirling_Solo_SoloDance_Senior_Professional[[#This Row],[J4 TOTAL]])+Twirling_Solo_SoloDance_Senior_Professional[[#This Row],[J5 TOTAL]]</f>
        <v>0</v>
      </c>
      <c r="AD3" s="51"/>
      <c r="AE3" s="51"/>
      <c r="AF3" s="51">
        <f>SUM(Twirling_Solo_SoloDance_Senior_Professional[[#This Row],[Total]]-Twirling_Solo_SoloDance_Senior_Professional[[#This Row],[Low]]-Twirling_Solo_SoloDance_Senior_Professional[[#This Row],[High]])</f>
        <v>0</v>
      </c>
      <c r="AG3" s="51" t="e">
        <f>AVERAGE(I3,M3,Q3,U3,Y3)</f>
        <v>#DIV/0!</v>
      </c>
      <c r="AH3" s="53">
        <f>Twirling_Solo_SoloDance_Senior_Professional[[#This Row],[Final Total]]</f>
        <v>0</v>
      </c>
      <c r="AI3" s="54">
        <f>COUNTIFS(Twirling_Solo_SoloDance_Senior_Professional[Age
Division],Twirling_Solo_SoloDance_Senior_Professional[[#This Row],[Age
Division]],Twirling_Solo_SoloDance_Senior_Professional[Category],Twirling_Solo_SoloDance_Senior_Professional[[#This Row],[Category]],Twirling_Solo_SoloDance_Senior_Professional[FINAL SCORE],"&gt;"&amp;Twirling_Solo_SoloDance_Senior_Professional[[#This Row],[FINAL SCORE]])+1</f>
        <v>2</v>
      </c>
      <c r="AJ3" s="48" t="s">
        <v>33</v>
      </c>
    </row>
  </sheetData>
  <sheetProtection algorithmName="SHA-512" hashValue="WE1eKrZqfZRl20ZziqvYtOzZbYMtEVoHDjgLuJTcntItUyOzOYTYzkBRnYLhQOfWTI81H3A28/Dy0jMfyB8ZeA==" saltValue="Y2ylbAGNOBCZRZlCjXZCj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0ADEB-6FCA-4F9F-AD7A-CDBAEA713045}">
  <sheetPr codeName="Sheet16"/>
  <dimension ref="A1:BC23"/>
  <sheetViews>
    <sheetView zoomScale="80" zoomScaleNormal="80" workbookViewId="0">
      <pane xSplit="8" topLeftCell="I1" activePane="topRight" state="frozen"/>
      <selection activeCell="V26" sqref="V26"/>
      <selection pane="topRight" activeCell="G6" sqref="G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7.6640625" style="30" customWidth="1"/>
    <col min="5" max="5" width="7.88671875" style="29" bestFit="1" customWidth="1"/>
    <col min="6" max="6" width="20" style="20" bestFit="1" customWidth="1"/>
    <col min="7" max="7" width="43.33203125" style="20" bestFit="1" customWidth="1"/>
    <col min="8" max="8" width="7.88671875" style="20" customWidth="1"/>
    <col min="9" max="16" width="9.109375" style="20" hidden="1" customWidth="1"/>
    <col min="17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55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112</v>
      </c>
      <c r="B2" s="19">
        <v>2</v>
      </c>
      <c r="C2" s="19" t="s">
        <v>82</v>
      </c>
      <c r="D2" s="19" t="s">
        <v>27</v>
      </c>
      <c r="E2" s="19" t="s">
        <v>51</v>
      </c>
      <c r="F2" s="31" t="s">
        <v>62</v>
      </c>
      <c r="G2" s="19" t="s">
        <v>63</v>
      </c>
      <c r="H2" s="20" t="s">
        <v>25</v>
      </c>
      <c r="I2" s="21"/>
      <c r="J2" s="22"/>
      <c r="K2" s="23">
        <f>Twirling_Solo_SoloDance_Junior_Beginner[[#This Row],[Judge 1
Tamara Beljak]]-J2</f>
        <v>0</v>
      </c>
      <c r="L2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Row],[Category]],Twirling_Solo_SoloDance_Junior_Beginner[J1 TOTAL],"&gt;"&amp;Twirling_Solo_SoloDance_Junior_Beginner[[#This Row],[J1 TOTAL]])+1</f>
        <v>1</v>
      </c>
      <c r="M2" s="21"/>
      <c r="N2" s="22"/>
      <c r="O2" s="23">
        <f>Twirling_Solo_SoloDance_Junior_Beginner[[#This Row],[Judge 2
Tihomir Bendelja]]-Twirling_Solo_SoloDance_Junior_Beginner[[#This Row],[J2 (-)]]</f>
        <v>0</v>
      </c>
      <c r="P2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Row],[Category]],Twirling_Solo_SoloDance_Junior_Beginner[J2 TOTAL],"&gt;"&amp;Twirling_Solo_SoloDance_Junior_Beginner[[#This Row],[J2 TOTAL]])+1</f>
        <v>1</v>
      </c>
      <c r="Q2" s="21">
        <v>14.1</v>
      </c>
      <c r="R2" s="22">
        <v>1</v>
      </c>
      <c r="S2" s="23">
        <f>Twirling_Solo_SoloDance_Junior_Beginner[[#This Row],[Judge 3
Tea Softić]]-R2</f>
        <v>13.1</v>
      </c>
      <c r="T2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Row],[Category]],Twirling_Solo_SoloDance_Junior_Beginner[J3 TOTAL],"&gt;"&amp;Twirling_Solo_SoloDance_Junior_Beginner[[#This Row],[J3 TOTAL]])+1</f>
        <v>1</v>
      </c>
      <c r="U2" s="21">
        <v>12.5</v>
      </c>
      <c r="V2" s="22">
        <v>1</v>
      </c>
      <c r="W2" s="23">
        <f>Twirling_Solo_SoloDance_Junior_Beginner[[#This Row],[Judge 4
Bernard Barač]]-V2</f>
        <v>11.5</v>
      </c>
      <c r="X2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Row],[Category]],Twirling_Solo_SoloDance_Junior_Beginner[J4 TOTAL],"&gt;"&amp;Twirling_Solo_SoloDance_Junior_Beginner[[#This Row],[J4 TOTAL]])+1</f>
        <v>3</v>
      </c>
      <c r="Y2" s="21">
        <v>15.8</v>
      </c>
      <c r="Z2" s="22">
        <v>1</v>
      </c>
      <c r="AA2" s="23">
        <f>Twirling_Solo_SoloDance_Junior_Beginner[[#This Row],[Judge 5
Barbara Novina]]-Z2</f>
        <v>14.8</v>
      </c>
      <c r="AB2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Row],[Category]],Twirling_Solo_SoloDance_Junior_Beginner[J5 TOTAL],"&gt;"&amp;Twirling_Solo_SoloDance_Junior_Beginner[[#This Row],[J5 TOTAL]])+1</f>
        <v>1</v>
      </c>
      <c r="AC2" s="25">
        <f>SUM(Twirling_Solo_SoloDance_Junior_Beginner[[#This Row],[J1 TOTAL]]+Twirling_Solo_SoloDance_Junior_Beginner[[#This Row],[J2 TOTAL]]+Twirling_Solo_SoloDance_Junior_Beginner[[#This Row],[J3 TOTAL]]+Twirling_Solo_SoloDance_Junior_Beginner[[#This Row],[J4 TOTAL]])+Twirling_Solo_SoloDance_Junior_Beginner[[#This Row],[J5 TOTAL]]</f>
        <v>39.400000000000006</v>
      </c>
      <c r="AD2" s="25"/>
      <c r="AE2" s="25"/>
      <c r="AF2" s="25">
        <f>SUM(Twirling_Solo_SoloDance_Junior_Beginner[[#This Row],[Total]]-Twirling_Solo_SoloDance_Junior_Beginner[[#This Row],[Low]]-Twirling_Solo_SoloDance_Junior_Beginner[[#This Row],[High]])</f>
        <v>39.400000000000006</v>
      </c>
      <c r="AG2" s="25">
        <f t="shared" ref="AG2:AG8" si="0">AVERAGE(I2,M2,Q2,U2,Y2)</f>
        <v>14.133333333333335</v>
      </c>
      <c r="AH2" s="26">
        <f>Twirling_Solo_SoloDance_Junior_Beginner[[#This Row],[Final Total]]</f>
        <v>39.400000000000006</v>
      </c>
      <c r="AI2" s="28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Row],[Category]],Twirling_Solo_SoloDance_Junior_Beginner[FINAL SCORE],"&gt;"&amp;Twirling_Solo_SoloDance_Junior_Beginner[[#This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110</v>
      </c>
      <c r="B3" s="19">
        <v>2</v>
      </c>
      <c r="C3" s="19" t="s">
        <v>82</v>
      </c>
      <c r="D3" s="19" t="s">
        <v>27</v>
      </c>
      <c r="E3" s="19" t="s">
        <v>51</v>
      </c>
      <c r="F3" s="31" t="s">
        <v>53</v>
      </c>
      <c r="G3" s="19" t="s">
        <v>49</v>
      </c>
      <c r="H3" s="20" t="s">
        <v>25</v>
      </c>
      <c r="I3" s="21"/>
      <c r="J3" s="22"/>
      <c r="K3" s="23">
        <f>Twirling_Solo_SoloDance_Junior_Beginner[[#This Row],[Judge 1
Tamara Beljak]]-J3</f>
        <v>0</v>
      </c>
      <c r="L3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Row],[Category]],Twirling_Solo_SoloDance_Junior_Beginner[J1 TOTAL],"&gt;"&amp;Twirling_Solo_SoloDance_Junior_Beginner[[#This Row],[J1 TOTAL]])+1</f>
        <v>1</v>
      </c>
      <c r="M3" s="21"/>
      <c r="N3" s="22"/>
      <c r="O3" s="23">
        <f>Twirling_Solo_SoloDance_Junior_Beginner[[#This Row],[Judge 2
Tihomir Bendelja]]-Twirling_Solo_SoloDance_Junior_Beginner[[#This Row],[J2 (-)]]</f>
        <v>0</v>
      </c>
      <c r="P3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Row],[Category]],Twirling_Solo_SoloDance_Junior_Beginner[J2 TOTAL],"&gt;"&amp;Twirling_Solo_SoloDance_Junior_Beginner[[#This Row],[J2 TOTAL]])+1</f>
        <v>1</v>
      </c>
      <c r="Q3" s="21">
        <v>12.2</v>
      </c>
      <c r="R3" s="22">
        <v>0.5</v>
      </c>
      <c r="S3" s="23">
        <f>Twirling_Solo_SoloDance_Junior_Beginner[[#This Row],[Judge 3
Tea Softić]]-R3</f>
        <v>11.7</v>
      </c>
      <c r="T3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Row],[Category]],Twirling_Solo_SoloDance_Junior_Beginner[J3 TOTAL],"&gt;"&amp;Twirling_Solo_SoloDance_Junior_Beginner[[#This Row],[J3 TOTAL]])+1</f>
        <v>4</v>
      </c>
      <c r="U3" s="21">
        <v>12.5</v>
      </c>
      <c r="V3" s="22">
        <v>0.5</v>
      </c>
      <c r="W3" s="23">
        <f>Twirling_Solo_SoloDance_Junior_Beginner[[#This Row],[Judge 4
Bernard Barač]]-V3</f>
        <v>12</v>
      </c>
      <c r="X3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Row],[Category]],Twirling_Solo_SoloDance_Junior_Beginner[J4 TOTAL],"&gt;"&amp;Twirling_Solo_SoloDance_Junior_Beginner[[#This Row],[J4 TOTAL]])+1</f>
        <v>1</v>
      </c>
      <c r="Y3" s="21">
        <v>11.35</v>
      </c>
      <c r="Z3" s="22">
        <v>0.5</v>
      </c>
      <c r="AA3" s="23">
        <f>Twirling_Solo_SoloDance_Junior_Beginner[[#This Row],[Judge 5
Barbara Novina]]-Z3</f>
        <v>10.85</v>
      </c>
      <c r="AB3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Row],[Category]],Twirling_Solo_SoloDance_Junior_Beginner[J5 TOTAL],"&gt;"&amp;Twirling_Solo_SoloDance_Junior_Beginner[[#This Row],[J5 TOTAL]])+1</f>
        <v>4</v>
      </c>
      <c r="AC3" s="25">
        <f>SUM(Twirling_Solo_SoloDance_Junior_Beginner[[#This Row],[J1 TOTAL]]+Twirling_Solo_SoloDance_Junior_Beginner[[#This Row],[J2 TOTAL]]+Twirling_Solo_SoloDance_Junior_Beginner[[#This Row],[J3 TOTAL]]+Twirling_Solo_SoloDance_Junior_Beginner[[#This Row],[J4 TOTAL]])+Twirling_Solo_SoloDance_Junior_Beginner[[#This Row],[J5 TOTAL]]</f>
        <v>34.549999999999997</v>
      </c>
      <c r="AD3" s="25"/>
      <c r="AE3" s="25"/>
      <c r="AF3" s="25">
        <f>SUM(Twirling_Solo_SoloDance_Junior_Beginner[[#This Row],[Total]]-Twirling_Solo_SoloDance_Junior_Beginner[[#This Row],[Low]]-Twirling_Solo_SoloDance_Junior_Beginner[[#This Row],[High]])</f>
        <v>34.549999999999997</v>
      </c>
      <c r="AG3" s="25">
        <f t="shared" si="0"/>
        <v>12.016666666666666</v>
      </c>
      <c r="AH3" s="26">
        <f>Twirling_Solo_SoloDance_Junior_Beginner[[#This Row],[Final Total]]</f>
        <v>34.549999999999997</v>
      </c>
      <c r="AI3" s="28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Row],[Category]],Twirling_Solo_SoloDance_Junior_Beginner[FINAL SCORE],"&gt;"&amp;Twirling_Solo_SoloDance_Junior_Beginner[[#This Row],[FINAL SCORE]])+1</f>
        <v>2</v>
      </c>
      <c r="AJ3" s="18" t="s">
        <v>33</v>
      </c>
    </row>
    <row r="4" spans="1:55" ht="15.6" x14ac:dyDescent="0.3">
      <c r="A4" s="18">
        <v>106</v>
      </c>
      <c r="B4" s="19">
        <v>2</v>
      </c>
      <c r="C4" s="19" t="s">
        <v>82</v>
      </c>
      <c r="D4" s="19" t="s">
        <v>27</v>
      </c>
      <c r="E4" s="19" t="s">
        <v>51</v>
      </c>
      <c r="F4" s="31" t="s">
        <v>159</v>
      </c>
      <c r="G4" s="19" t="s">
        <v>63</v>
      </c>
      <c r="H4" s="20" t="s">
        <v>25</v>
      </c>
      <c r="I4" s="21"/>
      <c r="J4" s="22"/>
      <c r="K4" s="23">
        <f>Twirling_Solo_SoloDance_Junior_Beginner[[#This Row],[Judge 1
Tamara Beljak]]-J4</f>
        <v>0</v>
      </c>
      <c r="L4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Row],[Category]],Twirling_Solo_SoloDance_Junior_Beginner[J1 TOTAL],"&gt;"&amp;Twirling_Solo_SoloDance_Junior_Beginner[[#This Row],[J1 TOTAL]])+1</f>
        <v>1</v>
      </c>
      <c r="M4" s="21"/>
      <c r="N4" s="22"/>
      <c r="O4" s="23">
        <f>Twirling_Solo_SoloDance_Junior_Beginner[[#This Row],[Judge 2
Tihomir Bendelja]]-Twirling_Solo_SoloDance_Junior_Beginner[[#This Row],[J2 (-)]]</f>
        <v>0</v>
      </c>
      <c r="P4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Row],[Category]],Twirling_Solo_SoloDance_Junior_Beginner[J2 TOTAL],"&gt;"&amp;Twirling_Solo_SoloDance_Junior_Beginner[[#This Row],[J2 TOTAL]])+1</f>
        <v>1</v>
      </c>
      <c r="Q4" s="21">
        <v>12</v>
      </c>
      <c r="R4" s="22">
        <v>0.5</v>
      </c>
      <c r="S4" s="23">
        <f>Twirling_Solo_SoloDance_Junior_Beginner[[#This Row],[Judge 3
Tea Softić]]-R4</f>
        <v>11.5</v>
      </c>
      <c r="T4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Row],[Category]],Twirling_Solo_SoloDance_Junior_Beginner[J3 TOTAL],"&gt;"&amp;Twirling_Solo_SoloDance_Junior_Beginner[[#This Row],[J3 TOTAL]])+1</f>
        <v>5</v>
      </c>
      <c r="U4" s="21">
        <v>12.4</v>
      </c>
      <c r="V4" s="22">
        <v>0.5</v>
      </c>
      <c r="W4" s="23">
        <f>Twirling_Solo_SoloDance_Junior_Beginner[[#This Row],[Judge 4
Bernard Barač]]-V4</f>
        <v>11.9</v>
      </c>
      <c r="X4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Row],[Category]],Twirling_Solo_SoloDance_Junior_Beginner[J4 TOTAL],"&gt;"&amp;Twirling_Solo_SoloDance_Junior_Beginner[[#This Row],[J4 TOTAL]])+1</f>
        <v>2</v>
      </c>
      <c r="Y4" s="21">
        <v>11.5</v>
      </c>
      <c r="Z4" s="22">
        <v>0.5</v>
      </c>
      <c r="AA4" s="23">
        <f>Twirling_Solo_SoloDance_Junior_Beginner[[#This Row],[Judge 5
Barbara Novina]]-Z4</f>
        <v>11</v>
      </c>
      <c r="AB4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Row],[Category]],Twirling_Solo_SoloDance_Junior_Beginner[J5 TOTAL],"&gt;"&amp;Twirling_Solo_SoloDance_Junior_Beginner[[#This Row],[J5 TOTAL]])+1</f>
        <v>3</v>
      </c>
      <c r="AC4" s="25">
        <f>SUM(Twirling_Solo_SoloDance_Junior_Beginner[[#This Row],[J1 TOTAL]]+Twirling_Solo_SoloDance_Junior_Beginner[[#This Row],[J2 TOTAL]]+Twirling_Solo_SoloDance_Junior_Beginner[[#This Row],[J3 TOTAL]]+Twirling_Solo_SoloDance_Junior_Beginner[[#This Row],[J4 TOTAL]])+Twirling_Solo_SoloDance_Junior_Beginner[[#This Row],[J5 TOTAL]]</f>
        <v>34.4</v>
      </c>
      <c r="AD4" s="25"/>
      <c r="AE4" s="25"/>
      <c r="AF4" s="25">
        <f>SUM(Twirling_Solo_SoloDance_Junior_Beginner[[#This Row],[Total]]-Twirling_Solo_SoloDance_Junior_Beginner[[#This Row],[Low]]-Twirling_Solo_SoloDance_Junior_Beginner[[#This Row],[High]])</f>
        <v>34.4</v>
      </c>
      <c r="AG4" s="25">
        <f t="shared" si="0"/>
        <v>11.966666666666667</v>
      </c>
      <c r="AH4" s="26">
        <f>Twirling_Solo_SoloDance_Junior_Beginner[[#This Row],[Final Total]]</f>
        <v>34.4</v>
      </c>
      <c r="AI4" s="28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Row],[Category]],Twirling_Solo_SoloDance_Junior_Beginner[FINAL SCORE],"&gt;"&amp;Twirling_Solo_SoloDance_Junior_Beginner[[#This Row],[FINAL SCORE]])+1</f>
        <v>3</v>
      </c>
      <c r="AJ4" s="18" t="s">
        <v>33</v>
      </c>
    </row>
    <row r="5" spans="1:55" ht="15.6" x14ac:dyDescent="0.3">
      <c r="A5" s="18">
        <v>116</v>
      </c>
      <c r="B5" s="19">
        <v>2</v>
      </c>
      <c r="C5" s="19" t="s">
        <v>82</v>
      </c>
      <c r="D5" s="19" t="s">
        <v>27</v>
      </c>
      <c r="E5" s="19" t="s">
        <v>51</v>
      </c>
      <c r="F5" s="31" t="s">
        <v>162</v>
      </c>
      <c r="G5" s="19" t="s">
        <v>31</v>
      </c>
      <c r="H5" s="20" t="s">
        <v>25</v>
      </c>
      <c r="I5" s="21"/>
      <c r="J5" s="22"/>
      <c r="K5" s="23">
        <f>Twirling_Solo_SoloDance_Junior_Beginner[[#This Row],[Judge 1
Tamara Beljak]]-J5</f>
        <v>0</v>
      </c>
      <c r="L5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Row],[Category]],Twirling_Solo_SoloDance_Junior_Beginner[J1 TOTAL],"&gt;"&amp;Twirling_Solo_SoloDance_Junior_Beginner[[#This Row],[J1 TOTAL]])+1</f>
        <v>1</v>
      </c>
      <c r="M5" s="21"/>
      <c r="N5" s="22"/>
      <c r="O5" s="23">
        <f>Twirling_Solo_SoloDance_Junior_Beginner[[#This Row],[Judge 2
Tihomir Bendelja]]-Twirling_Solo_SoloDance_Junior_Beginner[[#This Row],[J2 (-)]]</f>
        <v>0</v>
      </c>
      <c r="P5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Row],[Category]],Twirling_Solo_SoloDance_Junior_Beginner[J2 TOTAL],"&gt;"&amp;Twirling_Solo_SoloDance_Junior_Beginner[[#This Row],[J2 TOTAL]])+1</f>
        <v>1</v>
      </c>
      <c r="Q5" s="21">
        <v>10.4</v>
      </c>
      <c r="R5" s="22">
        <v>0.5</v>
      </c>
      <c r="S5" s="23">
        <f>Twirling_Solo_SoloDance_Junior_Beginner[[#This Row],[Judge 3
Tea Softić]]-R5</f>
        <v>9.9</v>
      </c>
      <c r="T5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Row],[Category]],Twirling_Solo_SoloDance_Junior_Beginner[J3 TOTAL],"&gt;"&amp;Twirling_Solo_SoloDance_Junior_Beginner[[#This Row],[J3 TOTAL]])+1</f>
        <v>6</v>
      </c>
      <c r="U5" s="21">
        <v>11.6</v>
      </c>
      <c r="V5" s="22">
        <v>0.5</v>
      </c>
      <c r="W5" s="23">
        <f>Twirling_Solo_SoloDance_Junior_Beginner[[#This Row],[Judge 4
Bernard Barač]]-V5</f>
        <v>11.1</v>
      </c>
      <c r="X5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Row],[Category]],Twirling_Solo_SoloDance_Junior_Beginner[J4 TOTAL],"&gt;"&amp;Twirling_Solo_SoloDance_Junior_Beginner[[#This Row],[J4 TOTAL]])+1</f>
        <v>4</v>
      </c>
      <c r="Y5" s="21">
        <v>11.8</v>
      </c>
      <c r="Z5" s="22">
        <v>0.5</v>
      </c>
      <c r="AA5" s="23">
        <f>Twirling_Solo_SoloDance_Junior_Beginner[[#This Row],[Judge 5
Barbara Novina]]-Z5</f>
        <v>11.3</v>
      </c>
      <c r="AB5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Row],[Category]],Twirling_Solo_SoloDance_Junior_Beginner[J5 TOTAL],"&gt;"&amp;Twirling_Solo_SoloDance_Junior_Beginner[[#This Row],[J5 TOTAL]])+1</f>
        <v>2</v>
      </c>
      <c r="AC5" s="25">
        <f>SUM(Twirling_Solo_SoloDance_Junior_Beginner[[#This Row],[J1 TOTAL]]+Twirling_Solo_SoloDance_Junior_Beginner[[#This Row],[J2 TOTAL]]+Twirling_Solo_SoloDance_Junior_Beginner[[#This Row],[J3 TOTAL]]+Twirling_Solo_SoloDance_Junior_Beginner[[#This Row],[J4 TOTAL]])+Twirling_Solo_SoloDance_Junior_Beginner[[#This Row],[J5 TOTAL]]</f>
        <v>32.299999999999997</v>
      </c>
      <c r="AD5" s="25"/>
      <c r="AE5" s="25"/>
      <c r="AF5" s="25">
        <f>SUM(Twirling_Solo_SoloDance_Junior_Beginner[[#This Row],[Total]]-Twirling_Solo_SoloDance_Junior_Beginner[[#This Row],[Low]]-Twirling_Solo_SoloDance_Junior_Beginner[[#This Row],[High]])</f>
        <v>32.299999999999997</v>
      </c>
      <c r="AG5" s="25">
        <f t="shared" si="0"/>
        <v>11.266666666666666</v>
      </c>
      <c r="AH5" s="26">
        <f>Twirling_Solo_SoloDance_Junior_Beginner[[#This Row],[Final Total]]</f>
        <v>32.299999999999997</v>
      </c>
      <c r="AI5" s="28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Row],[Category]],Twirling_Solo_SoloDance_Junior_Beginner[FINAL SCORE],"&gt;"&amp;Twirling_Solo_SoloDance_Junior_Beginner[[#This Row],[FINAL SCORE]])+1</f>
        <v>4</v>
      </c>
      <c r="AJ5" s="18" t="s">
        <v>33</v>
      </c>
    </row>
    <row r="6" spans="1:55" ht="15.6" x14ac:dyDescent="0.3">
      <c r="A6" s="18">
        <v>114</v>
      </c>
      <c r="B6" s="19">
        <v>2</v>
      </c>
      <c r="C6" s="19" t="s">
        <v>82</v>
      </c>
      <c r="D6" s="19" t="s">
        <v>27</v>
      </c>
      <c r="E6" s="19" t="s">
        <v>51</v>
      </c>
      <c r="F6" s="31" t="s">
        <v>161</v>
      </c>
      <c r="G6" s="19" t="s">
        <v>31</v>
      </c>
      <c r="H6" s="20" t="s">
        <v>25</v>
      </c>
      <c r="I6" s="21"/>
      <c r="J6" s="22"/>
      <c r="K6" s="23">
        <f>Twirling_Solo_SoloDance_Junior_Beginner[[#This Row],[Judge 1
Tamara Beljak]]-J6</f>
        <v>0</v>
      </c>
      <c r="L6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Row],[Category]],Twirling_Solo_SoloDance_Junior_Beginner[J1 TOTAL],"&gt;"&amp;Twirling_Solo_SoloDance_Junior_Beginner[[#This Row],[J1 TOTAL]])+1</f>
        <v>1</v>
      </c>
      <c r="M6" s="21"/>
      <c r="N6" s="22"/>
      <c r="O6" s="23">
        <f>Twirling_Solo_SoloDance_Junior_Beginner[[#This Row],[Judge 2
Tihomir Bendelja]]-Twirling_Solo_SoloDance_Junior_Beginner[[#This Row],[J2 (-)]]</f>
        <v>0</v>
      </c>
      <c r="P6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Row],[Category]],Twirling_Solo_SoloDance_Junior_Beginner[J2 TOTAL],"&gt;"&amp;Twirling_Solo_SoloDance_Junior_Beginner[[#This Row],[J2 TOTAL]])+1</f>
        <v>1</v>
      </c>
      <c r="Q6" s="21">
        <v>14.3</v>
      </c>
      <c r="R6" s="22">
        <v>2.5</v>
      </c>
      <c r="S6" s="23">
        <f>Twirling_Solo_SoloDance_Junior_Beginner[[#This Row],[Judge 3
Tea Softić]]-R6</f>
        <v>11.8</v>
      </c>
      <c r="T6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Row],[Category]],Twirling_Solo_SoloDance_Junior_Beginner[J3 TOTAL],"&gt;"&amp;Twirling_Solo_SoloDance_Junior_Beginner[[#This Row],[J3 TOTAL]])+1</f>
        <v>3</v>
      </c>
      <c r="U6" s="21">
        <v>13.3</v>
      </c>
      <c r="V6" s="22">
        <v>2.5</v>
      </c>
      <c r="W6" s="23">
        <f>Twirling_Solo_SoloDance_Junior_Beginner[[#This Row],[Judge 4
Bernard Barač]]-V6</f>
        <v>10.8</v>
      </c>
      <c r="X6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Row],[Category]],Twirling_Solo_SoloDance_Junior_Beginner[J4 TOTAL],"&gt;"&amp;Twirling_Solo_SoloDance_Junior_Beginner[[#This Row],[J4 TOTAL]])+1</f>
        <v>5</v>
      </c>
      <c r="Y6" s="21">
        <v>11.6</v>
      </c>
      <c r="Z6" s="22">
        <v>2.5</v>
      </c>
      <c r="AA6" s="23">
        <f>Twirling_Solo_SoloDance_Junior_Beginner[[#This Row],[Judge 5
Barbara Novina]]-Z6</f>
        <v>9.1</v>
      </c>
      <c r="AB6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Row],[Category]],Twirling_Solo_SoloDance_Junior_Beginner[J5 TOTAL],"&gt;"&amp;Twirling_Solo_SoloDance_Junior_Beginner[[#This Row],[J5 TOTAL]])+1</f>
        <v>5</v>
      </c>
      <c r="AC6" s="25">
        <f>SUM(Twirling_Solo_SoloDance_Junior_Beginner[[#This Row],[J1 TOTAL]]+Twirling_Solo_SoloDance_Junior_Beginner[[#This Row],[J2 TOTAL]]+Twirling_Solo_SoloDance_Junior_Beginner[[#This Row],[J3 TOTAL]]+Twirling_Solo_SoloDance_Junior_Beginner[[#This Row],[J4 TOTAL]])+Twirling_Solo_SoloDance_Junior_Beginner[[#This Row],[J5 TOTAL]]</f>
        <v>31.700000000000003</v>
      </c>
      <c r="AD6" s="25"/>
      <c r="AE6" s="25"/>
      <c r="AF6" s="25">
        <f>SUM(Twirling_Solo_SoloDance_Junior_Beginner[[#This Row],[Total]]-Twirling_Solo_SoloDance_Junior_Beginner[[#This Row],[Low]]-Twirling_Solo_SoloDance_Junior_Beginner[[#This Row],[High]])</f>
        <v>31.700000000000003</v>
      </c>
      <c r="AG6" s="25">
        <f t="shared" si="0"/>
        <v>13.066666666666668</v>
      </c>
      <c r="AH6" s="26">
        <f>Twirling_Solo_SoloDance_Junior_Beginner[[#This Row],[Final Total]]</f>
        <v>31.700000000000003</v>
      </c>
      <c r="AI6" s="28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Row],[Category]],Twirling_Solo_SoloDance_Junior_Beginner[FINAL SCORE],"&gt;"&amp;Twirling_Solo_SoloDance_Junior_Beginner[[#This Row],[FINAL SCORE]])+1</f>
        <v>5</v>
      </c>
      <c r="AJ6" s="18" t="s">
        <v>33</v>
      </c>
    </row>
    <row r="7" spans="1:55" ht="15.6" x14ac:dyDescent="0.3">
      <c r="A7" s="18">
        <v>104</v>
      </c>
      <c r="B7" s="19">
        <v>2</v>
      </c>
      <c r="C7" s="19" t="s">
        <v>82</v>
      </c>
      <c r="D7" s="19" t="s">
        <v>27</v>
      </c>
      <c r="E7" s="19" t="s">
        <v>51</v>
      </c>
      <c r="F7" s="31" t="s">
        <v>158</v>
      </c>
      <c r="G7" s="19" t="s">
        <v>32</v>
      </c>
      <c r="H7" s="20" t="s">
        <v>25</v>
      </c>
      <c r="I7" s="21"/>
      <c r="J7" s="22"/>
      <c r="K7" s="23">
        <f>Twirling_Solo_SoloDance_Junior_Beginner[[#This Row],[Judge 1
Tamara Beljak]]-J7</f>
        <v>0</v>
      </c>
      <c r="L7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Row],[Category]],Twirling_Solo_SoloDance_Junior_Beginner[J1 TOTAL],"&gt;"&amp;Twirling_Solo_SoloDance_Junior_Beginner[[#This Row],[J1 TOTAL]])+1</f>
        <v>1</v>
      </c>
      <c r="M7" s="21"/>
      <c r="N7" s="22"/>
      <c r="O7" s="23">
        <f>Twirling_Solo_SoloDance_Junior_Beginner[[#This Row],[Judge 2
Tihomir Bendelja]]-Twirling_Solo_SoloDance_Junior_Beginner[[#This Row],[J2 (-)]]</f>
        <v>0</v>
      </c>
      <c r="P7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Row],[Category]],Twirling_Solo_SoloDance_Junior_Beginner[J2 TOTAL],"&gt;"&amp;Twirling_Solo_SoloDance_Junior_Beginner[[#This Row],[J2 TOTAL]])+1</f>
        <v>1</v>
      </c>
      <c r="Q7" s="21">
        <v>12.5</v>
      </c>
      <c r="R7" s="22">
        <v>0.5</v>
      </c>
      <c r="S7" s="23">
        <f>Twirling_Solo_SoloDance_Junior_Beginner[[#This Row],[Judge 3
Tea Softić]]-R7</f>
        <v>12</v>
      </c>
      <c r="T7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Row],[Category]],Twirling_Solo_SoloDance_Junior_Beginner[J3 TOTAL],"&gt;"&amp;Twirling_Solo_SoloDance_Junior_Beginner[[#This Row],[J3 TOTAL]])+1</f>
        <v>2</v>
      </c>
      <c r="U7" s="21">
        <v>10.199999999999999</v>
      </c>
      <c r="V7" s="22">
        <v>0.5</v>
      </c>
      <c r="W7" s="23">
        <f>Twirling_Solo_SoloDance_Junior_Beginner[[#This Row],[Judge 4
Bernard Barač]]-V7</f>
        <v>9.6999999999999993</v>
      </c>
      <c r="X7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Row],[Category]],Twirling_Solo_SoloDance_Junior_Beginner[J4 TOTAL],"&gt;"&amp;Twirling_Solo_SoloDance_Junior_Beginner[[#This Row],[J4 TOTAL]])+1</f>
        <v>6</v>
      </c>
      <c r="Y7" s="21">
        <v>8.5</v>
      </c>
      <c r="Z7" s="22">
        <v>0.5</v>
      </c>
      <c r="AA7" s="23">
        <f>Twirling_Solo_SoloDance_Junior_Beginner[[#This Row],[Judge 5
Barbara Novina]]-Z7</f>
        <v>8</v>
      </c>
      <c r="AB7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Row],[Category]],Twirling_Solo_SoloDance_Junior_Beginner[J5 TOTAL],"&gt;"&amp;Twirling_Solo_SoloDance_Junior_Beginner[[#This Row],[J5 TOTAL]])+1</f>
        <v>6</v>
      </c>
      <c r="AC7" s="25">
        <f>SUM(Twirling_Solo_SoloDance_Junior_Beginner[[#This Row],[J1 TOTAL]]+Twirling_Solo_SoloDance_Junior_Beginner[[#This Row],[J2 TOTAL]]+Twirling_Solo_SoloDance_Junior_Beginner[[#This Row],[J3 TOTAL]]+Twirling_Solo_SoloDance_Junior_Beginner[[#This Row],[J4 TOTAL]])+Twirling_Solo_SoloDance_Junior_Beginner[[#This Row],[J5 TOTAL]]</f>
        <v>29.7</v>
      </c>
      <c r="AD7" s="25"/>
      <c r="AE7" s="25"/>
      <c r="AF7" s="25">
        <f>SUM(Twirling_Solo_SoloDance_Junior_Beginner[[#This Row],[Total]]-Twirling_Solo_SoloDance_Junior_Beginner[[#This Row],[Low]]-Twirling_Solo_SoloDance_Junior_Beginner[[#This Row],[High]])</f>
        <v>29.7</v>
      </c>
      <c r="AG7" s="25">
        <f t="shared" si="0"/>
        <v>10.4</v>
      </c>
      <c r="AH7" s="26">
        <f>Twirling_Solo_SoloDance_Junior_Beginner[[#This Row],[Final Total]]</f>
        <v>29.7</v>
      </c>
      <c r="AI7" s="27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Row],[Category]],Twirling_Solo_SoloDance_Junior_Beginner[FINAL SCORE],"&gt;"&amp;Twirling_Solo_SoloDance_Junior_Beginner[[#This Row],[FINAL SCORE]])+1</f>
        <v>6</v>
      </c>
      <c r="AJ7" s="18" t="s">
        <v>33</v>
      </c>
    </row>
    <row r="8" spans="1:55" ht="15.6" x14ac:dyDescent="0.3">
      <c r="A8" s="18">
        <v>108</v>
      </c>
      <c r="B8" s="19">
        <v>2</v>
      </c>
      <c r="C8" s="19" t="s">
        <v>82</v>
      </c>
      <c r="D8" s="19" t="s">
        <v>27</v>
      </c>
      <c r="E8" s="19" t="s">
        <v>51</v>
      </c>
      <c r="F8" s="31" t="s">
        <v>160</v>
      </c>
      <c r="G8" s="19" t="s">
        <v>32</v>
      </c>
      <c r="H8" s="20" t="s">
        <v>25</v>
      </c>
      <c r="I8" s="21"/>
      <c r="J8" s="22"/>
      <c r="K8" s="23">
        <f>Twirling_Solo_SoloDance_Junior_Beginner[[#This Row],[Judge 1
Tamara Beljak]]-J8</f>
        <v>0</v>
      </c>
      <c r="L8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Row],[Category]],Twirling_Solo_SoloDance_Junior_Beginner[J1 TOTAL],"&gt;"&amp;Twirling_Solo_SoloDance_Junior_Beginner[[#This Row],[J1 TOTAL]])+1</f>
        <v>1</v>
      </c>
      <c r="M8" s="21"/>
      <c r="N8" s="22"/>
      <c r="O8" s="23">
        <f>Twirling_Solo_SoloDance_Junior_Beginner[[#This Row],[Judge 2
Tihomir Bendelja]]-Twirling_Solo_SoloDance_Junior_Beginner[[#This Row],[J2 (-)]]</f>
        <v>0</v>
      </c>
      <c r="P8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Row],[Category]],Twirling_Solo_SoloDance_Junior_Beginner[J2 TOTAL],"&gt;"&amp;Twirling_Solo_SoloDance_Junior_Beginner[[#This Row],[J2 TOTAL]])+1</f>
        <v>1</v>
      </c>
      <c r="Q8" s="21">
        <v>10.9</v>
      </c>
      <c r="R8" s="22">
        <v>2.5</v>
      </c>
      <c r="S8" s="23">
        <f>Twirling_Solo_SoloDance_Junior_Beginner[[#This Row],[Judge 3
Tea Softić]]-R8</f>
        <v>8.4</v>
      </c>
      <c r="T8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Row],[Category]],Twirling_Solo_SoloDance_Junior_Beginner[J3 TOTAL],"&gt;"&amp;Twirling_Solo_SoloDance_Junior_Beginner[[#This Row],[J3 TOTAL]])+1</f>
        <v>7</v>
      </c>
      <c r="U8" s="21">
        <v>11.2</v>
      </c>
      <c r="V8" s="22">
        <v>2</v>
      </c>
      <c r="W8" s="23">
        <f>Twirling_Solo_SoloDance_Junior_Beginner[[#This Row],[Judge 4
Bernard Barač]]-V8</f>
        <v>9.1999999999999993</v>
      </c>
      <c r="X8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Row],[Category]],Twirling_Solo_SoloDance_Junior_Beginner[J4 TOTAL],"&gt;"&amp;Twirling_Solo_SoloDance_Junior_Beginner[[#This Row],[J4 TOTAL]])+1</f>
        <v>7</v>
      </c>
      <c r="Y8" s="21">
        <v>9.25</v>
      </c>
      <c r="Z8" s="22">
        <v>2.5</v>
      </c>
      <c r="AA8" s="23">
        <f>Twirling_Solo_SoloDance_Junior_Beginner[[#This Row],[Judge 5
Barbara Novina]]-Z8</f>
        <v>6.75</v>
      </c>
      <c r="AB8" s="24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Row],[Category]],Twirling_Solo_SoloDance_Junior_Beginner[J5 TOTAL],"&gt;"&amp;Twirling_Solo_SoloDance_Junior_Beginner[[#This Row],[J5 TOTAL]])+1</f>
        <v>7</v>
      </c>
      <c r="AC8" s="25">
        <f>SUM(Twirling_Solo_SoloDance_Junior_Beginner[[#This Row],[J1 TOTAL]]+Twirling_Solo_SoloDance_Junior_Beginner[[#This Row],[J2 TOTAL]]+Twirling_Solo_SoloDance_Junior_Beginner[[#This Row],[J3 TOTAL]]+Twirling_Solo_SoloDance_Junior_Beginner[[#This Row],[J4 TOTAL]])+Twirling_Solo_SoloDance_Junior_Beginner[[#This Row],[J5 TOTAL]]</f>
        <v>24.35</v>
      </c>
      <c r="AD8" s="25"/>
      <c r="AE8" s="25"/>
      <c r="AF8" s="25">
        <f>SUM(Twirling_Solo_SoloDance_Junior_Beginner[[#This Row],[Total]]-Twirling_Solo_SoloDance_Junior_Beginner[[#This Row],[Low]]-Twirling_Solo_SoloDance_Junior_Beginner[[#This Row],[High]])</f>
        <v>24.35</v>
      </c>
      <c r="AG8" s="25">
        <f t="shared" si="0"/>
        <v>10.450000000000001</v>
      </c>
      <c r="AH8" s="26">
        <f>Twirling_Solo_SoloDance_Junior_Beginner[[#This Row],[Final Total]]</f>
        <v>24.35</v>
      </c>
      <c r="AI8" s="28">
        <f>COUNTIFS(Twirling_Solo_SoloDance_Junior_Beginner[Age
Division],Twirling_Solo_SoloDance_Junior_Beginner[[#This Row],[Age
Division]],Twirling_Solo_SoloDance_Junior_Beginner[Category],Twirling_Solo_SoloDance_Junior_Beginner[[#This Row],[Category]],Twirling_Solo_SoloDance_Junior_Beginner[FINAL SCORE],"&gt;"&amp;Twirling_Solo_SoloDance_Junior_Beginner[[#This Row],[FINAL SCORE]])+1</f>
        <v>7</v>
      </c>
      <c r="AJ8" s="18" t="s">
        <v>33</v>
      </c>
    </row>
    <row r="11" spans="1:55" x14ac:dyDescent="0.3">
      <c r="S11" s="70"/>
    </row>
    <row r="12" spans="1:55" x14ac:dyDescent="0.3">
      <c r="S12" s="70"/>
    </row>
    <row r="13" spans="1:55" x14ac:dyDescent="0.3">
      <c r="S13" s="70"/>
    </row>
    <row r="14" spans="1:55" x14ac:dyDescent="0.3">
      <c r="S14" s="70"/>
    </row>
    <row r="15" spans="1:55" x14ac:dyDescent="0.3">
      <c r="S15" s="70"/>
    </row>
    <row r="16" spans="1:55" x14ac:dyDescent="0.3">
      <c r="S16" s="70"/>
    </row>
    <row r="17" spans="19:19" x14ac:dyDescent="0.3">
      <c r="S17" s="70"/>
    </row>
    <row r="18" spans="19:19" x14ac:dyDescent="0.3">
      <c r="S18" s="70"/>
    </row>
    <row r="19" spans="19:19" x14ac:dyDescent="0.3">
      <c r="S19" s="70"/>
    </row>
    <row r="20" spans="19:19" x14ac:dyDescent="0.3">
      <c r="S20" s="70"/>
    </row>
    <row r="21" spans="19:19" x14ac:dyDescent="0.3">
      <c r="S21" s="70"/>
    </row>
    <row r="22" spans="19:19" x14ac:dyDescent="0.3">
      <c r="S22" s="70"/>
    </row>
    <row r="23" spans="19:19" x14ac:dyDescent="0.3">
      <c r="S23" s="70"/>
    </row>
  </sheetData>
  <sheetProtection algorithmName="SHA-512" hashValue="+RoTnC32bpSlufHEQ7o9E4u+8i7tsd6af2kshseD54kGvIwha6q0WzgBhhAr4oW+Iu22F2fEDDVBSmMJte1nZw==" saltValue="NpO9Mril9wDRu6yXVZeS6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1754C-CDA8-44E4-8C08-4246DBD5B4CC}">
  <sheetPr codeName="Sheet17"/>
  <dimension ref="A1:BC19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8" style="30" customWidth="1"/>
    <col min="5" max="5" width="12.5546875" style="29" customWidth="1"/>
    <col min="6" max="6" width="18.109375" style="20" customWidth="1"/>
    <col min="7" max="7" width="46.21875" style="20" bestFit="1" customWidth="1"/>
    <col min="8" max="8" width="8.109375" style="20" customWidth="1"/>
    <col min="9" max="16" width="9.109375" style="20" customWidth="1"/>
    <col min="17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55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93</v>
      </c>
      <c r="B2" s="19">
        <v>1</v>
      </c>
      <c r="C2" s="19" t="s">
        <v>82</v>
      </c>
      <c r="D2" s="19" t="s">
        <v>27</v>
      </c>
      <c r="E2" s="19" t="s">
        <v>43</v>
      </c>
      <c r="F2" s="31" t="s">
        <v>50</v>
      </c>
      <c r="G2" s="19" t="s">
        <v>49</v>
      </c>
      <c r="H2" s="20" t="s">
        <v>25</v>
      </c>
      <c r="I2" s="21">
        <v>38</v>
      </c>
      <c r="J2" s="22">
        <v>0</v>
      </c>
      <c r="K2" s="23">
        <f>Twirling_Solo_SoloDance_Junior_Intermediate[[#This Row],[Judge 1
Tamara Beljak]]-J2</f>
        <v>38</v>
      </c>
      <c r="L2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1</v>
      </c>
      <c r="M2" s="21">
        <v>38</v>
      </c>
      <c r="N2" s="22">
        <v>0</v>
      </c>
      <c r="O2" s="23">
        <f>Twirling_Solo_SoloDance_Junior_Intermediate[[#This Row],[Judge 2
Tihomir Bendelja]]-Twirling_Solo_SoloDance_Junior_Intermediate[[#This Row],[J2 (-)]]</f>
        <v>38</v>
      </c>
      <c r="P2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1</v>
      </c>
      <c r="Q2" s="21"/>
      <c r="R2" s="22"/>
      <c r="S2" s="23">
        <f>Twirling_Solo_SoloDance_Junior_Intermediate[[#This Row],[Judge 3
Tea Softić]]-R2</f>
        <v>0</v>
      </c>
      <c r="T2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2" s="21"/>
      <c r="V2" s="22"/>
      <c r="W2" s="23">
        <f>Twirling_Solo_SoloDance_Junior_Intermediate[[#This Row],[Judge 4
Bernard Barač]]-V2</f>
        <v>0</v>
      </c>
      <c r="X2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2" s="21"/>
      <c r="Z2" s="22"/>
      <c r="AA2" s="23">
        <f>Twirling_Solo_SoloDance_Junior_Intermediate[[#This Row],[Judge 5
Barbara Novina]]-Y2</f>
        <v>0</v>
      </c>
      <c r="AB2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2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76</v>
      </c>
      <c r="AD2" s="25"/>
      <c r="AE2" s="25"/>
      <c r="AF2" s="25">
        <f>SUM(Twirling_Solo_SoloDance_Junior_Intermediate[[#This Row],[Total]]-Twirling_Solo_SoloDance_Junior_Intermediate[[#This Row],[Low]]-Twirling_Solo_SoloDance_Junior_Intermediate[[#This Row],[High]])</f>
        <v>76</v>
      </c>
      <c r="AG2" s="25">
        <f t="shared" ref="AG2:AG19" si="0">AVERAGE(I2,M2,Q2,U2,Y2)</f>
        <v>38</v>
      </c>
      <c r="AH2" s="26">
        <f>Twirling_Solo_SoloDance_Junior_Intermediate[[#This Row],[Final Total]]</f>
        <v>76</v>
      </c>
      <c r="AI2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103</v>
      </c>
      <c r="B3" s="19">
        <v>1</v>
      </c>
      <c r="C3" s="19" t="s">
        <v>82</v>
      </c>
      <c r="D3" s="19" t="s">
        <v>27</v>
      </c>
      <c r="E3" s="19" t="s">
        <v>43</v>
      </c>
      <c r="F3" s="31" t="s">
        <v>107</v>
      </c>
      <c r="G3" s="19" t="s">
        <v>32</v>
      </c>
      <c r="H3" s="20" t="s">
        <v>25</v>
      </c>
      <c r="I3" s="21">
        <v>28.5</v>
      </c>
      <c r="J3" s="22">
        <v>0.5</v>
      </c>
      <c r="K3" s="23">
        <f>Twirling_Solo_SoloDance_Junior_Intermediate[[#This Row],[Judge 1
Tamara Beljak]]-J3</f>
        <v>28</v>
      </c>
      <c r="L3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2</v>
      </c>
      <c r="M3" s="21">
        <v>27.7</v>
      </c>
      <c r="N3" s="22">
        <v>0.5</v>
      </c>
      <c r="O3" s="23">
        <f>Twirling_Solo_SoloDance_Junior_Intermediate[[#This Row],[Judge 2
Tihomir Bendelja]]-Twirling_Solo_SoloDance_Junior_Intermediate[[#This Row],[J2 (-)]]</f>
        <v>27.2</v>
      </c>
      <c r="P3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2</v>
      </c>
      <c r="Q3" s="21"/>
      <c r="R3" s="22"/>
      <c r="S3" s="23">
        <f>Twirling_Solo_SoloDance_Junior_Intermediate[[#This Row],[Judge 3
Tea Softić]]-R3</f>
        <v>0</v>
      </c>
      <c r="T3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3" s="21"/>
      <c r="V3" s="22"/>
      <c r="W3" s="23">
        <f>Twirling_Solo_SoloDance_Junior_Intermediate[[#This Row],[Judge 4
Bernard Barač]]-V3</f>
        <v>0</v>
      </c>
      <c r="X3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3" s="21"/>
      <c r="Z3" s="22"/>
      <c r="AA3" s="23">
        <f>Twirling_Solo_SoloDance_Junior_Intermediate[[#This Row],[Judge 5
Barbara Novina]]-Y3</f>
        <v>0</v>
      </c>
      <c r="AB3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3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55.2</v>
      </c>
      <c r="AD3" s="25"/>
      <c r="AE3" s="25"/>
      <c r="AF3" s="25">
        <f>SUM(Twirling_Solo_SoloDance_Junior_Intermediate[[#This Row],[Total]]-Twirling_Solo_SoloDance_Junior_Intermediate[[#This Row],[Low]]-Twirling_Solo_SoloDance_Junior_Intermediate[[#This Row],[High]])</f>
        <v>55.2</v>
      </c>
      <c r="AG3" s="25">
        <f t="shared" si="0"/>
        <v>28.1</v>
      </c>
      <c r="AH3" s="26">
        <f>Twirling_Solo_SoloDance_Junior_Intermediate[[#This Row],[Final Total]]</f>
        <v>55.2</v>
      </c>
      <c r="AI3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2</v>
      </c>
      <c r="AJ3" s="18" t="s">
        <v>33</v>
      </c>
    </row>
    <row r="4" spans="1:55" ht="15.6" x14ac:dyDescent="0.3">
      <c r="A4" s="18">
        <v>115</v>
      </c>
      <c r="B4" s="19">
        <v>1</v>
      </c>
      <c r="C4" s="19" t="s">
        <v>82</v>
      </c>
      <c r="D4" s="19" t="s">
        <v>27</v>
      </c>
      <c r="E4" s="19" t="s">
        <v>43</v>
      </c>
      <c r="F4" s="31" t="s">
        <v>52</v>
      </c>
      <c r="G4" s="19" t="s">
        <v>49</v>
      </c>
      <c r="H4" s="20" t="s">
        <v>25</v>
      </c>
      <c r="I4" s="21">
        <v>28.2</v>
      </c>
      <c r="J4" s="22">
        <v>0.5</v>
      </c>
      <c r="K4" s="23">
        <f>Twirling_Solo_SoloDance_Junior_Intermediate[[#This Row],[Judge 1
Tamara Beljak]]-J4</f>
        <v>27.7</v>
      </c>
      <c r="L4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3</v>
      </c>
      <c r="M4" s="21">
        <v>27.5</v>
      </c>
      <c r="N4" s="22">
        <v>0.5</v>
      </c>
      <c r="O4" s="23">
        <f>Twirling_Solo_SoloDance_Junior_Intermediate[[#This Row],[Judge 2
Tihomir Bendelja]]-Twirling_Solo_SoloDance_Junior_Intermediate[[#This Row],[J2 (-)]]</f>
        <v>27</v>
      </c>
      <c r="P4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3</v>
      </c>
      <c r="Q4" s="21"/>
      <c r="R4" s="22"/>
      <c r="S4" s="23">
        <f>Twirling_Solo_SoloDance_Junior_Intermediate[[#This Row],[Judge 3
Tea Softić]]-R4</f>
        <v>0</v>
      </c>
      <c r="T4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4" s="21"/>
      <c r="V4" s="22"/>
      <c r="W4" s="23">
        <f>Twirling_Solo_SoloDance_Junior_Intermediate[[#This Row],[Judge 4
Bernard Barač]]-V4</f>
        <v>0</v>
      </c>
      <c r="X4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4" s="21"/>
      <c r="Z4" s="22"/>
      <c r="AA4" s="23">
        <f>Twirling_Solo_SoloDance_Junior_Intermediate[[#This Row],[Judge 5
Barbara Novina]]-Y4</f>
        <v>0</v>
      </c>
      <c r="AB4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4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54.7</v>
      </c>
      <c r="AD4" s="25"/>
      <c r="AE4" s="25"/>
      <c r="AF4" s="25">
        <f>SUM(Twirling_Solo_SoloDance_Junior_Intermediate[[#This Row],[Total]]-Twirling_Solo_SoloDance_Junior_Intermediate[[#This Row],[Low]]-Twirling_Solo_SoloDance_Junior_Intermediate[[#This Row],[High]])</f>
        <v>54.7</v>
      </c>
      <c r="AG4" s="25">
        <f t="shared" si="0"/>
        <v>27.85</v>
      </c>
      <c r="AH4" s="26">
        <f>Twirling_Solo_SoloDance_Junior_Intermediate[[#This Row],[Final Total]]</f>
        <v>54.7</v>
      </c>
      <c r="AI4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3</v>
      </c>
      <c r="AJ4" s="18" t="s">
        <v>33</v>
      </c>
    </row>
    <row r="5" spans="1:55" ht="15.6" x14ac:dyDescent="0.3">
      <c r="A5" s="18">
        <v>109</v>
      </c>
      <c r="B5" s="19">
        <v>1</v>
      </c>
      <c r="C5" s="19" t="s">
        <v>82</v>
      </c>
      <c r="D5" s="19" t="s">
        <v>27</v>
      </c>
      <c r="E5" s="19" t="s">
        <v>43</v>
      </c>
      <c r="F5" s="31" t="s">
        <v>70</v>
      </c>
      <c r="G5" s="19" t="s">
        <v>45</v>
      </c>
      <c r="H5" s="20" t="s">
        <v>25</v>
      </c>
      <c r="I5" s="21">
        <v>28.2</v>
      </c>
      <c r="J5" s="22">
        <v>0.5</v>
      </c>
      <c r="K5" s="23">
        <f>Twirling_Solo_SoloDance_Junior_Intermediate[[#This Row],[Judge 1
Tamara Beljak]]-J5</f>
        <v>27.7</v>
      </c>
      <c r="L5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3</v>
      </c>
      <c r="M5" s="21">
        <v>27.4</v>
      </c>
      <c r="N5" s="22">
        <v>0.5</v>
      </c>
      <c r="O5" s="23">
        <f>Twirling_Solo_SoloDance_Junior_Intermediate[[#This Row],[Judge 2
Tihomir Bendelja]]-Twirling_Solo_SoloDance_Junior_Intermediate[[#This Row],[J2 (-)]]</f>
        <v>26.9</v>
      </c>
      <c r="P5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4</v>
      </c>
      <c r="Q5" s="21"/>
      <c r="R5" s="22"/>
      <c r="S5" s="23">
        <f>Twirling_Solo_SoloDance_Junior_Intermediate[[#This Row],[Judge 3
Tea Softić]]-R5</f>
        <v>0</v>
      </c>
      <c r="T5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5" s="21"/>
      <c r="V5" s="22"/>
      <c r="W5" s="23">
        <f>Twirling_Solo_SoloDance_Junior_Intermediate[[#This Row],[Judge 4
Bernard Barač]]-V5</f>
        <v>0</v>
      </c>
      <c r="X5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5" s="21"/>
      <c r="Z5" s="22"/>
      <c r="AA5" s="23">
        <f>Twirling_Solo_SoloDance_Junior_Intermediate[[#This Row],[Judge 5
Barbara Novina]]-Y5</f>
        <v>0</v>
      </c>
      <c r="AB5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5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54.599999999999994</v>
      </c>
      <c r="AD5" s="25"/>
      <c r="AE5" s="25"/>
      <c r="AF5" s="25">
        <f>SUM(Twirling_Solo_SoloDance_Junior_Intermediate[[#This Row],[Total]]-Twirling_Solo_SoloDance_Junior_Intermediate[[#This Row],[Low]]-Twirling_Solo_SoloDance_Junior_Intermediate[[#This Row],[High]])</f>
        <v>54.599999999999994</v>
      </c>
      <c r="AG5" s="25">
        <f t="shared" si="0"/>
        <v>27.799999999999997</v>
      </c>
      <c r="AH5" s="26">
        <f>Twirling_Solo_SoloDance_Junior_Intermediate[[#This Row],[Final Total]]</f>
        <v>54.599999999999994</v>
      </c>
      <c r="AI5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4</v>
      </c>
      <c r="AJ5" s="18" t="s">
        <v>33</v>
      </c>
    </row>
    <row r="6" spans="1:55" ht="15.6" x14ac:dyDescent="0.3">
      <c r="A6" s="18">
        <v>105</v>
      </c>
      <c r="B6" s="19">
        <v>1</v>
      </c>
      <c r="C6" s="19" t="s">
        <v>82</v>
      </c>
      <c r="D6" s="19" t="s">
        <v>27</v>
      </c>
      <c r="E6" s="19" t="s">
        <v>43</v>
      </c>
      <c r="F6" s="31" t="s">
        <v>99</v>
      </c>
      <c r="G6" s="19" t="s">
        <v>47</v>
      </c>
      <c r="H6" s="20" t="s">
        <v>25</v>
      </c>
      <c r="I6" s="21">
        <v>27.9</v>
      </c>
      <c r="J6" s="22">
        <v>0.5</v>
      </c>
      <c r="K6" s="23">
        <f>Twirling_Solo_SoloDance_Junior_Intermediate[[#This Row],[Judge 1
Tamara Beljak]]-J6</f>
        <v>27.4</v>
      </c>
      <c r="L6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5</v>
      </c>
      <c r="M6" s="21">
        <v>26.9</v>
      </c>
      <c r="N6" s="22">
        <v>0.5</v>
      </c>
      <c r="O6" s="23">
        <f>Twirling_Solo_SoloDance_Junior_Intermediate[[#This Row],[Judge 2
Tihomir Bendelja]]-Twirling_Solo_SoloDance_Junior_Intermediate[[#This Row],[J2 (-)]]</f>
        <v>26.4</v>
      </c>
      <c r="P6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5</v>
      </c>
      <c r="Q6" s="21"/>
      <c r="R6" s="22"/>
      <c r="S6" s="23">
        <f>Twirling_Solo_SoloDance_Junior_Intermediate[[#This Row],[Judge 3
Tea Softić]]-R6</f>
        <v>0</v>
      </c>
      <c r="T6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6" s="21"/>
      <c r="V6" s="22"/>
      <c r="W6" s="23">
        <f>Twirling_Solo_SoloDance_Junior_Intermediate[[#This Row],[Judge 4
Bernard Barač]]-V6</f>
        <v>0</v>
      </c>
      <c r="X6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6" s="21"/>
      <c r="Z6" s="22"/>
      <c r="AA6" s="23">
        <f>Twirling_Solo_SoloDance_Junior_Intermediate[[#This Row],[Judge 5
Barbara Novina]]-Y6</f>
        <v>0</v>
      </c>
      <c r="AB6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6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53.8</v>
      </c>
      <c r="AD6" s="25"/>
      <c r="AE6" s="25"/>
      <c r="AF6" s="25">
        <f>SUM(Twirling_Solo_SoloDance_Junior_Intermediate[[#This Row],[Total]]-Twirling_Solo_SoloDance_Junior_Intermediate[[#This Row],[Low]]-Twirling_Solo_SoloDance_Junior_Intermediate[[#This Row],[High]])</f>
        <v>53.8</v>
      </c>
      <c r="AG6" s="25">
        <f t="shared" si="0"/>
        <v>27.4</v>
      </c>
      <c r="AH6" s="26">
        <f>Twirling_Solo_SoloDance_Junior_Intermediate[[#This Row],[Final Total]]</f>
        <v>53.8</v>
      </c>
      <c r="AI6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5</v>
      </c>
      <c r="AJ6" s="18" t="s">
        <v>33</v>
      </c>
    </row>
    <row r="7" spans="1:55" ht="15.6" x14ac:dyDescent="0.3">
      <c r="A7" s="18">
        <v>113</v>
      </c>
      <c r="B7" s="19">
        <v>1</v>
      </c>
      <c r="C7" s="19" t="s">
        <v>82</v>
      </c>
      <c r="D7" s="19" t="s">
        <v>27</v>
      </c>
      <c r="E7" s="19" t="s">
        <v>43</v>
      </c>
      <c r="F7" s="31" t="s">
        <v>131</v>
      </c>
      <c r="G7" s="19" t="s">
        <v>49</v>
      </c>
      <c r="H7" s="20" t="s">
        <v>25</v>
      </c>
      <c r="I7" s="21">
        <v>28.1</v>
      </c>
      <c r="J7" s="22">
        <v>1.5</v>
      </c>
      <c r="K7" s="23">
        <f>Twirling_Solo_SoloDance_Junior_Intermediate[[#This Row],[Judge 1
Tamara Beljak]]-J7</f>
        <v>26.6</v>
      </c>
      <c r="L7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6</v>
      </c>
      <c r="M7" s="21">
        <v>27.8</v>
      </c>
      <c r="N7" s="22">
        <v>1.5</v>
      </c>
      <c r="O7" s="23">
        <f>Twirling_Solo_SoloDance_Junior_Intermediate[[#This Row],[Judge 2
Tihomir Bendelja]]-Twirling_Solo_SoloDance_Junior_Intermediate[[#This Row],[J2 (-)]]</f>
        <v>26.3</v>
      </c>
      <c r="P7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6</v>
      </c>
      <c r="Q7" s="21"/>
      <c r="R7" s="22"/>
      <c r="S7" s="23">
        <f>Twirling_Solo_SoloDance_Junior_Intermediate[[#This Row],[Judge 3
Tea Softić]]-R7</f>
        <v>0</v>
      </c>
      <c r="T7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7" s="21"/>
      <c r="V7" s="22"/>
      <c r="W7" s="23">
        <f>Twirling_Solo_SoloDance_Junior_Intermediate[[#This Row],[Judge 4
Bernard Barač]]-V7</f>
        <v>0</v>
      </c>
      <c r="X7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7" s="21"/>
      <c r="Z7" s="22"/>
      <c r="AA7" s="23">
        <f>Twirling_Solo_SoloDance_Junior_Intermediate[[#This Row],[Judge 5
Barbara Novina]]-Y7</f>
        <v>0</v>
      </c>
      <c r="AB7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7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52.900000000000006</v>
      </c>
      <c r="AD7" s="25"/>
      <c r="AE7" s="25"/>
      <c r="AF7" s="25">
        <f>SUM(Twirling_Solo_SoloDance_Junior_Intermediate[[#This Row],[Total]]-Twirling_Solo_SoloDance_Junior_Intermediate[[#This Row],[Low]]-Twirling_Solo_SoloDance_Junior_Intermediate[[#This Row],[High]])</f>
        <v>52.900000000000006</v>
      </c>
      <c r="AG7" s="25">
        <f t="shared" si="0"/>
        <v>27.950000000000003</v>
      </c>
      <c r="AH7" s="26">
        <f>Twirling_Solo_SoloDance_Junior_Intermediate[[#This Row],[Final Total]]</f>
        <v>52.900000000000006</v>
      </c>
      <c r="AI7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6</v>
      </c>
      <c r="AJ7" s="18" t="s">
        <v>33</v>
      </c>
    </row>
    <row r="8" spans="1:55" ht="15.6" x14ac:dyDescent="0.3">
      <c r="A8" s="18">
        <v>91</v>
      </c>
      <c r="B8" s="19">
        <v>1</v>
      </c>
      <c r="C8" s="19" t="s">
        <v>82</v>
      </c>
      <c r="D8" s="19" t="s">
        <v>27</v>
      </c>
      <c r="E8" s="19" t="s">
        <v>43</v>
      </c>
      <c r="F8" s="31" t="s">
        <v>60</v>
      </c>
      <c r="G8" s="19" t="s">
        <v>49</v>
      </c>
      <c r="H8" s="20" t="s">
        <v>25</v>
      </c>
      <c r="I8" s="21">
        <v>26.5</v>
      </c>
      <c r="J8" s="22">
        <v>1.5</v>
      </c>
      <c r="K8" s="23">
        <f>Twirling_Solo_SoloDance_Junior_Intermediate[[#This Row],[Judge 1
Tamara Beljak]]-J8</f>
        <v>25</v>
      </c>
      <c r="L8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7</v>
      </c>
      <c r="M8" s="21">
        <v>26.4</v>
      </c>
      <c r="N8" s="22">
        <v>1.5</v>
      </c>
      <c r="O8" s="23">
        <f>Twirling_Solo_SoloDance_Junior_Intermediate[[#This Row],[Judge 2
Tihomir Bendelja]]-Twirling_Solo_SoloDance_Junior_Intermediate[[#This Row],[J2 (-)]]</f>
        <v>24.9</v>
      </c>
      <c r="P8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7</v>
      </c>
      <c r="Q8" s="21"/>
      <c r="R8" s="22"/>
      <c r="S8" s="23">
        <f>Twirling_Solo_SoloDance_Junior_Intermediate[[#This Row],[Judge 3
Tea Softić]]-R8</f>
        <v>0</v>
      </c>
      <c r="T8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8" s="21"/>
      <c r="V8" s="22"/>
      <c r="W8" s="23">
        <f>Twirling_Solo_SoloDance_Junior_Intermediate[[#This Row],[Judge 4
Bernard Barač]]-V8</f>
        <v>0</v>
      </c>
      <c r="X8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8" s="21"/>
      <c r="Z8" s="22"/>
      <c r="AA8" s="23">
        <f>Twirling_Solo_SoloDance_Junior_Intermediate[[#This Row],[Judge 5
Barbara Novina]]-Y8</f>
        <v>0</v>
      </c>
      <c r="AB8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8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49.9</v>
      </c>
      <c r="AD8" s="25"/>
      <c r="AE8" s="25"/>
      <c r="AF8" s="25">
        <f>SUM(Twirling_Solo_SoloDance_Junior_Intermediate[[#This Row],[Total]]-Twirling_Solo_SoloDance_Junior_Intermediate[[#This Row],[Low]]-Twirling_Solo_SoloDance_Junior_Intermediate[[#This Row],[High]])</f>
        <v>49.9</v>
      </c>
      <c r="AG8" s="25">
        <f t="shared" si="0"/>
        <v>26.45</v>
      </c>
      <c r="AH8" s="26">
        <f>Twirling_Solo_SoloDance_Junior_Intermediate[[#This Row],[Final Total]]</f>
        <v>49.9</v>
      </c>
      <c r="AI8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7</v>
      </c>
      <c r="AJ8" s="18" t="s">
        <v>33</v>
      </c>
    </row>
    <row r="9" spans="1:55" ht="15.6" x14ac:dyDescent="0.3">
      <c r="A9" s="18">
        <v>117</v>
      </c>
      <c r="B9" s="19">
        <v>1</v>
      </c>
      <c r="C9" s="19" t="s">
        <v>82</v>
      </c>
      <c r="D9" s="19" t="s">
        <v>27</v>
      </c>
      <c r="E9" s="19" t="s">
        <v>43</v>
      </c>
      <c r="F9" s="31" t="s">
        <v>95</v>
      </c>
      <c r="G9" s="19" t="s">
        <v>47</v>
      </c>
      <c r="H9" s="20" t="s">
        <v>25</v>
      </c>
      <c r="I9" s="21">
        <v>23</v>
      </c>
      <c r="J9" s="22">
        <v>1.5</v>
      </c>
      <c r="K9" s="23">
        <f>Twirling_Solo_SoloDance_Junior_Intermediate[[#This Row],[Judge 1
Tamara Beljak]]-J9</f>
        <v>21.5</v>
      </c>
      <c r="L9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8</v>
      </c>
      <c r="M9" s="21">
        <v>25.9</v>
      </c>
      <c r="N9" s="22">
        <v>1.5</v>
      </c>
      <c r="O9" s="23">
        <f>Twirling_Solo_SoloDance_Junior_Intermediate[[#This Row],[Judge 2
Tihomir Bendelja]]-Twirling_Solo_SoloDance_Junior_Intermediate[[#This Row],[J2 (-)]]</f>
        <v>24.4</v>
      </c>
      <c r="P9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8</v>
      </c>
      <c r="Q9" s="21"/>
      <c r="R9" s="22"/>
      <c r="S9" s="23">
        <f>Twirling_Solo_SoloDance_Junior_Intermediate[[#This Row],[Judge 3
Tea Softić]]-R9</f>
        <v>0</v>
      </c>
      <c r="T9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9" s="21"/>
      <c r="V9" s="22"/>
      <c r="W9" s="23">
        <f>Twirling_Solo_SoloDance_Junior_Intermediate[[#This Row],[Judge 4
Bernard Barač]]-V9</f>
        <v>0</v>
      </c>
      <c r="X9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9" s="21"/>
      <c r="Z9" s="22"/>
      <c r="AA9" s="23">
        <f>Twirling_Solo_SoloDance_Junior_Intermediate[[#This Row],[Judge 5
Barbara Novina]]-Y9</f>
        <v>0</v>
      </c>
      <c r="AB9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9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45.9</v>
      </c>
      <c r="AD9" s="25"/>
      <c r="AE9" s="25"/>
      <c r="AF9" s="25">
        <f>SUM(Twirling_Solo_SoloDance_Junior_Intermediate[[#This Row],[Total]]-Twirling_Solo_SoloDance_Junior_Intermediate[[#This Row],[Low]]-Twirling_Solo_SoloDance_Junior_Intermediate[[#This Row],[High]])</f>
        <v>45.9</v>
      </c>
      <c r="AG9" s="25">
        <f t="shared" si="0"/>
        <v>24.45</v>
      </c>
      <c r="AH9" s="26">
        <f>Twirling_Solo_SoloDance_Junior_Intermediate[[#This Row],[Final Total]]</f>
        <v>45.9</v>
      </c>
      <c r="AI9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8</v>
      </c>
      <c r="AJ9" s="18" t="s">
        <v>33</v>
      </c>
    </row>
    <row r="10" spans="1:55" ht="15.6" x14ac:dyDescent="0.3">
      <c r="A10" s="18">
        <v>95</v>
      </c>
      <c r="B10" s="19">
        <v>1</v>
      </c>
      <c r="C10" s="19" t="s">
        <v>82</v>
      </c>
      <c r="D10" s="19" t="s">
        <v>27</v>
      </c>
      <c r="E10" s="19" t="s">
        <v>43</v>
      </c>
      <c r="F10" s="31" t="s">
        <v>105</v>
      </c>
      <c r="G10" s="19" t="s">
        <v>67</v>
      </c>
      <c r="H10" s="20" t="s">
        <v>25</v>
      </c>
      <c r="I10" s="21">
        <v>21.8</v>
      </c>
      <c r="J10" s="22">
        <v>0.5</v>
      </c>
      <c r="K10" s="23">
        <f>Twirling_Solo_SoloDance_Junior_Intermediate[[#This Row],[Judge 1
Tamara Beljak]]-J10</f>
        <v>21.3</v>
      </c>
      <c r="L10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9</v>
      </c>
      <c r="M10" s="21">
        <v>22</v>
      </c>
      <c r="N10" s="22">
        <v>0.5</v>
      </c>
      <c r="O10" s="23">
        <f>Twirling_Solo_SoloDance_Junior_Intermediate[[#This Row],[Judge 2
Tihomir Bendelja]]-Twirling_Solo_SoloDance_Junior_Intermediate[[#This Row],[J2 (-)]]</f>
        <v>21.5</v>
      </c>
      <c r="P10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9</v>
      </c>
      <c r="Q10" s="21"/>
      <c r="R10" s="22"/>
      <c r="S10" s="23">
        <f>Twirling_Solo_SoloDance_Junior_Intermediate[[#This Row],[Judge 3
Tea Softić]]-R10</f>
        <v>0</v>
      </c>
      <c r="T10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10" s="21"/>
      <c r="V10" s="22"/>
      <c r="W10" s="23">
        <f>Twirling_Solo_SoloDance_Junior_Intermediate[[#This Row],[Judge 4
Bernard Barač]]-V10</f>
        <v>0</v>
      </c>
      <c r="X10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10" s="21"/>
      <c r="Z10" s="22"/>
      <c r="AA10" s="23">
        <f>Twirling_Solo_SoloDance_Junior_Intermediate[[#This Row],[Judge 5
Barbara Novina]]-Y10</f>
        <v>0</v>
      </c>
      <c r="AB10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10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42.8</v>
      </c>
      <c r="AD10" s="25"/>
      <c r="AE10" s="25"/>
      <c r="AF10" s="25">
        <f>SUM(Twirling_Solo_SoloDance_Junior_Intermediate[[#This Row],[Total]]-Twirling_Solo_SoloDance_Junior_Intermediate[[#This Row],[Low]]-Twirling_Solo_SoloDance_Junior_Intermediate[[#This Row],[High]])</f>
        <v>42.8</v>
      </c>
      <c r="AG10" s="25">
        <f t="shared" si="0"/>
        <v>21.9</v>
      </c>
      <c r="AH10" s="26">
        <f>Twirling_Solo_SoloDance_Junior_Intermediate[[#This Row],[Final Total]]</f>
        <v>42.8</v>
      </c>
      <c r="AI10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9</v>
      </c>
      <c r="AJ10" s="18" t="s">
        <v>33</v>
      </c>
    </row>
    <row r="11" spans="1:55" ht="15.6" x14ac:dyDescent="0.3">
      <c r="A11" s="18">
        <v>101</v>
      </c>
      <c r="B11" s="19">
        <v>1</v>
      </c>
      <c r="C11" s="19" t="s">
        <v>82</v>
      </c>
      <c r="D11" s="19" t="s">
        <v>27</v>
      </c>
      <c r="E11" s="19" t="s">
        <v>43</v>
      </c>
      <c r="F11" s="31" t="s">
        <v>64</v>
      </c>
      <c r="G11" s="19" t="s">
        <v>63</v>
      </c>
      <c r="H11" s="20" t="s">
        <v>25</v>
      </c>
      <c r="I11" s="21">
        <v>21.5</v>
      </c>
      <c r="J11" s="22">
        <v>0.5</v>
      </c>
      <c r="K11" s="23">
        <f>Twirling_Solo_SoloDance_Junior_Intermediate[[#This Row],[Judge 1
Tamara Beljak]]-J11</f>
        <v>21</v>
      </c>
      <c r="L11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10</v>
      </c>
      <c r="M11" s="21">
        <v>21.1</v>
      </c>
      <c r="N11" s="22">
        <v>0.5</v>
      </c>
      <c r="O11" s="23">
        <f>Twirling_Solo_SoloDance_Junior_Intermediate[[#This Row],[Judge 2
Tihomir Bendelja]]-Twirling_Solo_SoloDance_Junior_Intermediate[[#This Row],[J2 (-)]]</f>
        <v>20.6</v>
      </c>
      <c r="P11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10</v>
      </c>
      <c r="Q11" s="21"/>
      <c r="R11" s="22"/>
      <c r="S11" s="23">
        <f>Twirling_Solo_SoloDance_Junior_Intermediate[[#This Row],[Judge 3
Tea Softić]]-R11</f>
        <v>0</v>
      </c>
      <c r="T11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11" s="21"/>
      <c r="V11" s="22"/>
      <c r="W11" s="23">
        <f>Twirling_Solo_SoloDance_Junior_Intermediate[[#This Row],[Judge 4
Bernard Barač]]-V11</f>
        <v>0</v>
      </c>
      <c r="X11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11" s="21"/>
      <c r="Z11" s="22"/>
      <c r="AA11" s="23">
        <f>Twirling_Solo_SoloDance_Junior_Intermediate[[#This Row],[Judge 5
Barbara Novina]]-Y11</f>
        <v>0</v>
      </c>
      <c r="AB11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11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41.6</v>
      </c>
      <c r="AD11" s="25"/>
      <c r="AE11" s="25"/>
      <c r="AF11" s="25">
        <f>SUM(Twirling_Solo_SoloDance_Junior_Intermediate[[#This Row],[Total]]-Twirling_Solo_SoloDance_Junior_Intermediate[[#This Row],[Low]]-Twirling_Solo_SoloDance_Junior_Intermediate[[#This Row],[High]])</f>
        <v>41.6</v>
      </c>
      <c r="AG11" s="25">
        <f t="shared" si="0"/>
        <v>21.3</v>
      </c>
      <c r="AH11" s="26">
        <f>Twirling_Solo_SoloDance_Junior_Intermediate[[#This Row],[Final Total]]</f>
        <v>41.6</v>
      </c>
      <c r="AI11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10</v>
      </c>
      <c r="AJ11" s="18" t="s">
        <v>33</v>
      </c>
    </row>
    <row r="12" spans="1:55" ht="15.6" x14ac:dyDescent="0.3">
      <c r="A12" s="18">
        <v>121</v>
      </c>
      <c r="B12" s="19">
        <v>1</v>
      </c>
      <c r="C12" s="19" t="s">
        <v>82</v>
      </c>
      <c r="D12" s="19" t="s">
        <v>27</v>
      </c>
      <c r="E12" s="19" t="s">
        <v>43</v>
      </c>
      <c r="F12" s="31" t="s">
        <v>96</v>
      </c>
      <c r="G12" s="19" t="s">
        <v>32</v>
      </c>
      <c r="H12" s="20" t="s">
        <v>25</v>
      </c>
      <c r="I12" s="21">
        <v>23.1</v>
      </c>
      <c r="J12" s="22">
        <v>2.5</v>
      </c>
      <c r="K12" s="23">
        <f>Twirling_Solo_SoloDance_Junior_Intermediate[[#This Row],[Judge 1
Tamara Beljak]]-J12</f>
        <v>20.6</v>
      </c>
      <c r="L12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11</v>
      </c>
      <c r="M12" s="21">
        <v>20.8</v>
      </c>
      <c r="N12" s="22">
        <v>2.5</v>
      </c>
      <c r="O12" s="23">
        <f>Twirling_Solo_SoloDance_Junior_Intermediate[[#This Row],[Judge 2
Tihomir Bendelja]]-Twirling_Solo_SoloDance_Junior_Intermediate[[#This Row],[J2 (-)]]</f>
        <v>18.3</v>
      </c>
      <c r="P12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12</v>
      </c>
      <c r="Q12" s="21"/>
      <c r="R12" s="22"/>
      <c r="S12" s="23">
        <f>Twirling_Solo_SoloDance_Junior_Intermediate[[#This Row],[Judge 3
Tea Softić]]-R12</f>
        <v>0</v>
      </c>
      <c r="T12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12" s="21"/>
      <c r="V12" s="22"/>
      <c r="W12" s="23">
        <f>Twirling_Solo_SoloDance_Junior_Intermediate[[#This Row],[Judge 4
Bernard Barač]]-V12</f>
        <v>0</v>
      </c>
      <c r="X12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12" s="21"/>
      <c r="Z12" s="22"/>
      <c r="AA12" s="23">
        <f>Twirling_Solo_SoloDance_Junior_Intermediate[[#This Row],[Judge 5
Barbara Novina]]-Y12</f>
        <v>0</v>
      </c>
      <c r="AB12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12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38.900000000000006</v>
      </c>
      <c r="AD12" s="25"/>
      <c r="AE12" s="25"/>
      <c r="AF12" s="25">
        <f>SUM(Twirling_Solo_SoloDance_Junior_Intermediate[[#This Row],[Total]]-Twirling_Solo_SoloDance_Junior_Intermediate[[#This Row],[Low]]-Twirling_Solo_SoloDance_Junior_Intermediate[[#This Row],[High]])</f>
        <v>38.900000000000006</v>
      </c>
      <c r="AG12" s="25">
        <f t="shared" si="0"/>
        <v>21.950000000000003</v>
      </c>
      <c r="AH12" s="26">
        <f>Twirling_Solo_SoloDance_Junior_Intermediate[[#This Row],[Final Total]]</f>
        <v>38.900000000000006</v>
      </c>
      <c r="AI12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11</v>
      </c>
      <c r="AJ12" s="18" t="s">
        <v>33</v>
      </c>
    </row>
    <row r="13" spans="1:55" ht="15.6" x14ac:dyDescent="0.3">
      <c r="A13" s="18">
        <v>87</v>
      </c>
      <c r="B13" s="19">
        <v>1</v>
      </c>
      <c r="C13" s="19" t="s">
        <v>82</v>
      </c>
      <c r="D13" s="19" t="s">
        <v>27</v>
      </c>
      <c r="E13" s="19" t="s">
        <v>43</v>
      </c>
      <c r="F13" s="31" t="s">
        <v>98</v>
      </c>
      <c r="G13" s="19" t="s">
        <v>32</v>
      </c>
      <c r="H13" s="20" t="s">
        <v>25</v>
      </c>
      <c r="I13" s="21">
        <v>21.6</v>
      </c>
      <c r="J13" s="22">
        <v>2.5</v>
      </c>
      <c r="K13" s="23">
        <f>Twirling_Solo_SoloDance_Junior_Intermediate[[#This Row],[Judge 1
Tamara Beljak]]-J13</f>
        <v>19.100000000000001</v>
      </c>
      <c r="L13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12</v>
      </c>
      <c r="M13" s="21">
        <v>21.2</v>
      </c>
      <c r="N13" s="22">
        <v>2.5</v>
      </c>
      <c r="O13" s="23">
        <f>Twirling_Solo_SoloDance_Junior_Intermediate[[#This Row],[Judge 2
Tihomir Bendelja]]-Twirling_Solo_SoloDance_Junior_Intermediate[[#This Row],[J2 (-)]]</f>
        <v>18.7</v>
      </c>
      <c r="P13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11</v>
      </c>
      <c r="Q13" s="21"/>
      <c r="R13" s="22"/>
      <c r="S13" s="23">
        <f>Twirling_Solo_SoloDance_Junior_Intermediate[[#This Row],[Judge 3
Tea Softić]]-R13</f>
        <v>0</v>
      </c>
      <c r="T13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13" s="21"/>
      <c r="V13" s="22"/>
      <c r="W13" s="23">
        <f>Twirling_Solo_SoloDance_Junior_Intermediate[[#This Row],[Judge 4
Bernard Barač]]-V13</f>
        <v>0</v>
      </c>
      <c r="X13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13" s="21"/>
      <c r="Z13" s="22"/>
      <c r="AA13" s="23">
        <f>Twirling_Solo_SoloDance_Junior_Intermediate[[#This Row],[Judge 5
Barbara Novina]]-Y13</f>
        <v>0</v>
      </c>
      <c r="AB13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13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37.799999999999997</v>
      </c>
      <c r="AD13" s="25"/>
      <c r="AE13" s="25"/>
      <c r="AF13" s="25">
        <f>SUM(Twirling_Solo_SoloDance_Junior_Intermediate[[#This Row],[Total]]-Twirling_Solo_SoloDance_Junior_Intermediate[[#This Row],[Low]]-Twirling_Solo_SoloDance_Junior_Intermediate[[#This Row],[High]])</f>
        <v>37.799999999999997</v>
      </c>
      <c r="AG13" s="25">
        <f t="shared" si="0"/>
        <v>21.4</v>
      </c>
      <c r="AH13" s="26">
        <f>Twirling_Solo_SoloDance_Junior_Intermediate[[#This Row],[Final Total]]</f>
        <v>37.799999999999997</v>
      </c>
      <c r="AI13" s="27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12</v>
      </c>
      <c r="AJ13" s="18" t="s">
        <v>33</v>
      </c>
    </row>
    <row r="14" spans="1:55" ht="15.6" x14ac:dyDescent="0.3">
      <c r="A14" s="18">
        <v>89</v>
      </c>
      <c r="B14" s="19">
        <v>1</v>
      </c>
      <c r="C14" s="19" t="s">
        <v>82</v>
      </c>
      <c r="D14" s="19" t="s">
        <v>27</v>
      </c>
      <c r="E14" s="19" t="s">
        <v>43</v>
      </c>
      <c r="F14" s="31" t="s">
        <v>163</v>
      </c>
      <c r="G14" s="19" t="s">
        <v>47</v>
      </c>
      <c r="H14" s="20" t="s">
        <v>25</v>
      </c>
      <c r="I14" s="21">
        <v>18.8</v>
      </c>
      <c r="J14" s="22">
        <v>1.5</v>
      </c>
      <c r="K14" s="23">
        <f>Twirling_Solo_SoloDance_Junior_Intermediate[[#This Row],[Judge 1
Tamara Beljak]]-J14</f>
        <v>17.3</v>
      </c>
      <c r="L14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13</v>
      </c>
      <c r="M14" s="21">
        <v>19.399999999999999</v>
      </c>
      <c r="N14" s="22">
        <v>1.5</v>
      </c>
      <c r="O14" s="23">
        <f>Twirling_Solo_SoloDance_Junior_Intermediate[[#This Row],[Judge 2
Tihomir Bendelja]]-Twirling_Solo_SoloDance_Junior_Intermediate[[#This Row],[J2 (-)]]</f>
        <v>17.899999999999999</v>
      </c>
      <c r="P14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13</v>
      </c>
      <c r="Q14" s="21"/>
      <c r="R14" s="22"/>
      <c r="S14" s="23">
        <f>Twirling_Solo_SoloDance_Junior_Intermediate[[#This Row],[Judge 3
Tea Softić]]-R14</f>
        <v>0</v>
      </c>
      <c r="T14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14" s="21"/>
      <c r="V14" s="22"/>
      <c r="W14" s="23">
        <f>Twirling_Solo_SoloDance_Junior_Intermediate[[#This Row],[Judge 4
Bernard Barač]]-V14</f>
        <v>0</v>
      </c>
      <c r="X14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14" s="21"/>
      <c r="Z14" s="22"/>
      <c r="AA14" s="23">
        <f>Twirling_Solo_SoloDance_Junior_Intermediate[[#This Row],[Judge 5
Barbara Novina]]-Y14</f>
        <v>0</v>
      </c>
      <c r="AB14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14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35.200000000000003</v>
      </c>
      <c r="AD14" s="25"/>
      <c r="AE14" s="25"/>
      <c r="AF14" s="25">
        <f>SUM(Twirling_Solo_SoloDance_Junior_Intermediate[[#This Row],[Total]]-Twirling_Solo_SoloDance_Junior_Intermediate[[#This Row],[Low]]-Twirling_Solo_SoloDance_Junior_Intermediate[[#This Row],[High]])</f>
        <v>35.200000000000003</v>
      </c>
      <c r="AG14" s="25">
        <f t="shared" si="0"/>
        <v>19.100000000000001</v>
      </c>
      <c r="AH14" s="26">
        <f>Twirling_Solo_SoloDance_Junior_Intermediate[[#This Row],[Final Total]]</f>
        <v>35.200000000000003</v>
      </c>
      <c r="AI14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13</v>
      </c>
      <c r="AJ14" s="18" t="s">
        <v>33</v>
      </c>
    </row>
    <row r="15" spans="1:55" ht="15.6" x14ac:dyDescent="0.3">
      <c r="A15" s="18">
        <v>111</v>
      </c>
      <c r="B15" s="19">
        <v>1</v>
      </c>
      <c r="C15" s="19" t="s">
        <v>82</v>
      </c>
      <c r="D15" s="19" t="s">
        <v>27</v>
      </c>
      <c r="E15" s="19" t="s">
        <v>43</v>
      </c>
      <c r="F15" s="31" t="s">
        <v>87</v>
      </c>
      <c r="G15" s="19" t="s">
        <v>32</v>
      </c>
      <c r="H15" s="20" t="s">
        <v>25</v>
      </c>
      <c r="I15" s="21">
        <v>17.7</v>
      </c>
      <c r="J15" s="22">
        <v>1.5</v>
      </c>
      <c r="K15" s="23">
        <f>Twirling_Solo_SoloDance_Junior_Intermediate[[#This Row],[Judge 1
Tamara Beljak]]-J15</f>
        <v>16.2</v>
      </c>
      <c r="L15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14</v>
      </c>
      <c r="M15" s="21">
        <v>18.7</v>
      </c>
      <c r="N15" s="22">
        <v>1.5</v>
      </c>
      <c r="O15" s="23">
        <f>Twirling_Solo_SoloDance_Junior_Intermediate[[#This Row],[Judge 2
Tihomir Bendelja]]-Twirling_Solo_SoloDance_Junior_Intermediate[[#This Row],[J2 (-)]]</f>
        <v>17.2</v>
      </c>
      <c r="P15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15</v>
      </c>
      <c r="Q15" s="21"/>
      <c r="R15" s="22"/>
      <c r="S15" s="23">
        <f>Twirling_Solo_SoloDance_Junior_Intermediate[[#This Row],[Judge 3
Tea Softić]]-R15</f>
        <v>0</v>
      </c>
      <c r="T15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15" s="21"/>
      <c r="V15" s="22"/>
      <c r="W15" s="23">
        <f>Twirling_Solo_SoloDance_Junior_Intermediate[[#This Row],[Judge 4
Bernard Barač]]-V15</f>
        <v>0</v>
      </c>
      <c r="X15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15" s="21"/>
      <c r="Z15" s="22"/>
      <c r="AA15" s="23">
        <f>Twirling_Solo_SoloDance_Junior_Intermediate[[#This Row],[Judge 5
Barbara Novina]]-Y15</f>
        <v>0</v>
      </c>
      <c r="AB15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15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33.4</v>
      </c>
      <c r="AD15" s="25"/>
      <c r="AE15" s="25"/>
      <c r="AF15" s="25">
        <f>SUM(Twirling_Solo_SoloDance_Junior_Intermediate[[#This Row],[Total]]-Twirling_Solo_SoloDance_Junior_Intermediate[[#This Row],[Low]]-Twirling_Solo_SoloDance_Junior_Intermediate[[#This Row],[High]])</f>
        <v>33.4</v>
      </c>
      <c r="AG15" s="25">
        <f t="shared" si="0"/>
        <v>18.2</v>
      </c>
      <c r="AH15" s="26">
        <f>Twirling_Solo_SoloDance_Junior_Intermediate[[#This Row],[Final Total]]</f>
        <v>33.4</v>
      </c>
      <c r="AI15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14</v>
      </c>
      <c r="AJ15" s="18" t="s">
        <v>33</v>
      </c>
    </row>
    <row r="16" spans="1:55" ht="15.6" x14ac:dyDescent="0.3">
      <c r="A16" s="18">
        <v>99</v>
      </c>
      <c r="B16" s="19">
        <v>1</v>
      </c>
      <c r="C16" s="19" t="s">
        <v>82</v>
      </c>
      <c r="D16" s="19" t="s">
        <v>27</v>
      </c>
      <c r="E16" s="19" t="s">
        <v>43</v>
      </c>
      <c r="F16" s="31" t="s">
        <v>106</v>
      </c>
      <c r="G16" s="19" t="s">
        <v>32</v>
      </c>
      <c r="H16" s="20" t="s">
        <v>25</v>
      </c>
      <c r="I16" s="21">
        <v>17.100000000000001</v>
      </c>
      <c r="J16" s="22">
        <v>2</v>
      </c>
      <c r="K16" s="23">
        <f>Twirling_Solo_SoloDance_Junior_Intermediate[[#This Row],[Judge 1
Tamara Beljak]]-J16</f>
        <v>15.100000000000001</v>
      </c>
      <c r="L16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15</v>
      </c>
      <c r="M16" s="21">
        <v>19.399999999999999</v>
      </c>
      <c r="N16" s="22">
        <v>2</v>
      </c>
      <c r="O16" s="23">
        <f>Twirling_Solo_SoloDance_Junior_Intermediate[[#This Row],[Judge 2
Tihomir Bendelja]]-Twirling_Solo_SoloDance_Junior_Intermediate[[#This Row],[J2 (-)]]</f>
        <v>17.399999999999999</v>
      </c>
      <c r="P16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14</v>
      </c>
      <c r="Q16" s="21"/>
      <c r="R16" s="22"/>
      <c r="S16" s="23">
        <f>Twirling_Solo_SoloDance_Junior_Intermediate[[#This Row],[Judge 3
Tea Softić]]-R16</f>
        <v>0</v>
      </c>
      <c r="T16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16" s="21"/>
      <c r="V16" s="22"/>
      <c r="W16" s="23">
        <f>Twirling_Solo_SoloDance_Junior_Intermediate[[#This Row],[Judge 4
Bernard Barač]]-V16</f>
        <v>0</v>
      </c>
      <c r="X16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16" s="21"/>
      <c r="Z16" s="22"/>
      <c r="AA16" s="23">
        <f>Twirling_Solo_SoloDance_Junior_Intermediate[[#This Row],[Judge 5
Barbara Novina]]-Y16</f>
        <v>0</v>
      </c>
      <c r="AB16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16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32.5</v>
      </c>
      <c r="AD16" s="25"/>
      <c r="AE16" s="25"/>
      <c r="AF16" s="25">
        <f>SUM(Twirling_Solo_SoloDance_Junior_Intermediate[[#This Row],[Total]]-Twirling_Solo_SoloDance_Junior_Intermediate[[#This Row],[Low]]-Twirling_Solo_SoloDance_Junior_Intermediate[[#This Row],[High]])</f>
        <v>32.5</v>
      </c>
      <c r="AG16" s="25">
        <f t="shared" si="0"/>
        <v>18.25</v>
      </c>
      <c r="AH16" s="26">
        <f>Twirling_Solo_SoloDance_Junior_Intermediate[[#This Row],[Final Total]]</f>
        <v>32.5</v>
      </c>
      <c r="AI16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15</v>
      </c>
      <c r="AJ16" s="18" t="s">
        <v>33</v>
      </c>
    </row>
    <row r="17" spans="1:36" ht="15.6" x14ac:dyDescent="0.3">
      <c r="A17" s="18">
        <v>107</v>
      </c>
      <c r="B17" s="19">
        <v>1</v>
      </c>
      <c r="C17" s="19" t="s">
        <v>82</v>
      </c>
      <c r="D17" s="19" t="s">
        <v>27</v>
      </c>
      <c r="E17" s="19" t="s">
        <v>43</v>
      </c>
      <c r="F17" s="31" t="s">
        <v>135</v>
      </c>
      <c r="G17" s="19" t="s">
        <v>73</v>
      </c>
      <c r="H17" s="20" t="s">
        <v>28</v>
      </c>
      <c r="I17" s="21">
        <v>17</v>
      </c>
      <c r="J17" s="22">
        <v>2</v>
      </c>
      <c r="K17" s="23">
        <f>Twirling_Solo_SoloDance_Junior_Intermediate[[#This Row],[Judge 1
Tamara Beljak]]-J17</f>
        <v>15</v>
      </c>
      <c r="L17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16</v>
      </c>
      <c r="M17" s="21">
        <v>17.600000000000001</v>
      </c>
      <c r="N17" s="22">
        <v>2</v>
      </c>
      <c r="O17" s="23">
        <f>Twirling_Solo_SoloDance_Junior_Intermediate[[#This Row],[Judge 2
Tihomir Bendelja]]-Twirling_Solo_SoloDance_Junior_Intermediate[[#This Row],[J2 (-)]]</f>
        <v>15.600000000000001</v>
      </c>
      <c r="P17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16</v>
      </c>
      <c r="Q17" s="21"/>
      <c r="R17" s="22"/>
      <c r="S17" s="23">
        <f>Twirling_Solo_SoloDance_Junior_Intermediate[[#This Row],[Judge 3
Tea Softić]]-R17</f>
        <v>0</v>
      </c>
      <c r="T17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17" s="21"/>
      <c r="V17" s="22"/>
      <c r="W17" s="23">
        <f>Twirling_Solo_SoloDance_Junior_Intermediate[[#This Row],[Judge 4
Bernard Barač]]-V17</f>
        <v>0</v>
      </c>
      <c r="X17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17" s="21"/>
      <c r="Z17" s="22"/>
      <c r="AA17" s="23">
        <f>Twirling_Solo_SoloDance_Junior_Intermediate[[#This Row],[Judge 5
Barbara Novina]]-Y17</f>
        <v>0</v>
      </c>
      <c r="AB17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17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30.6</v>
      </c>
      <c r="AD17" s="25"/>
      <c r="AE17" s="25"/>
      <c r="AF17" s="25">
        <f>SUM(Twirling_Solo_SoloDance_Junior_Intermediate[[#This Row],[Total]]-Twirling_Solo_SoloDance_Junior_Intermediate[[#This Row],[Low]]-Twirling_Solo_SoloDance_Junior_Intermediate[[#This Row],[High]])</f>
        <v>30.6</v>
      </c>
      <c r="AG17" s="25">
        <f t="shared" si="0"/>
        <v>17.3</v>
      </c>
      <c r="AH17" s="26">
        <f>Twirling_Solo_SoloDance_Junior_Intermediate[[#This Row],[Final Total]]</f>
        <v>30.6</v>
      </c>
      <c r="AI17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16</v>
      </c>
      <c r="AJ17" s="18" t="s">
        <v>33</v>
      </c>
    </row>
    <row r="18" spans="1:36" ht="15.6" x14ac:dyDescent="0.3">
      <c r="A18" s="18">
        <v>119</v>
      </c>
      <c r="B18" s="19">
        <v>1</v>
      </c>
      <c r="C18" s="19" t="s">
        <v>82</v>
      </c>
      <c r="D18" s="19" t="s">
        <v>27</v>
      </c>
      <c r="E18" s="19" t="s">
        <v>43</v>
      </c>
      <c r="F18" s="19" t="s">
        <v>89</v>
      </c>
      <c r="G18" s="19" t="s">
        <v>24</v>
      </c>
      <c r="H18" s="20" t="s">
        <v>25</v>
      </c>
      <c r="I18" s="21">
        <v>15.4</v>
      </c>
      <c r="J18" s="22">
        <v>3</v>
      </c>
      <c r="K18" s="23">
        <f>Twirling_Solo_SoloDance_Junior_Intermediate[[#This Row],[Judge 1
Tamara Beljak]]-J18</f>
        <v>12.4</v>
      </c>
      <c r="L18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17</v>
      </c>
      <c r="M18" s="21">
        <v>17.399999999999999</v>
      </c>
      <c r="N18" s="22">
        <v>3</v>
      </c>
      <c r="O18" s="23">
        <f>Twirling_Solo_SoloDance_Junior_Intermediate[[#This Row],[Judge 2
Tihomir Bendelja]]-Twirling_Solo_SoloDance_Junior_Intermediate[[#This Row],[J2 (-)]]</f>
        <v>14.399999999999999</v>
      </c>
      <c r="P18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17</v>
      </c>
      <c r="Q18" s="21"/>
      <c r="R18" s="22"/>
      <c r="S18" s="23">
        <f>Twirling_Solo_SoloDance_Junior_Intermediate[[#This Row],[Judge 3
Tea Softić]]-R18</f>
        <v>0</v>
      </c>
      <c r="T18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18" s="21"/>
      <c r="V18" s="22"/>
      <c r="W18" s="23">
        <f>Twirling_Solo_SoloDance_Junior_Intermediate[[#This Row],[Judge 4
Bernard Barač]]-V18</f>
        <v>0</v>
      </c>
      <c r="X18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18" s="21"/>
      <c r="Z18" s="22"/>
      <c r="AA18" s="23">
        <f>Twirling_Solo_SoloDance_Junior_Intermediate[[#This Row],[Judge 5
Barbara Novina]]-Y18</f>
        <v>0</v>
      </c>
      <c r="AB18" s="2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18" s="25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26.799999999999997</v>
      </c>
      <c r="AD18" s="25"/>
      <c r="AE18" s="25"/>
      <c r="AF18" s="25">
        <f>SUM(Twirling_Solo_SoloDance_Junior_Intermediate[[#This Row],[Total]]-Twirling_Solo_SoloDance_Junior_Intermediate[[#This Row],[Low]]-Twirling_Solo_SoloDance_Junior_Intermediate[[#This Row],[High]])</f>
        <v>26.799999999999997</v>
      </c>
      <c r="AG18" s="25">
        <f t="shared" si="0"/>
        <v>16.399999999999999</v>
      </c>
      <c r="AH18" s="26">
        <f>Twirling_Solo_SoloDance_Junior_Intermediate[[#This Row],[Final Total]]</f>
        <v>26.799999999999997</v>
      </c>
      <c r="AI18" s="28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17</v>
      </c>
      <c r="AJ18" s="18" t="s">
        <v>33</v>
      </c>
    </row>
    <row r="19" spans="1:36" ht="15.6" x14ac:dyDescent="0.3">
      <c r="A19" s="71">
        <v>97</v>
      </c>
      <c r="B19" s="67">
        <v>1</v>
      </c>
      <c r="C19" s="67" t="s">
        <v>82</v>
      </c>
      <c r="D19" s="67" t="s">
        <v>27</v>
      </c>
      <c r="E19" s="67" t="s">
        <v>43</v>
      </c>
      <c r="F19" s="67" t="s">
        <v>164</v>
      </c>
      <c r="G19" s="67" t="s">
        <v>24</v>
      </c>
      <c r="H19" s="72" t="s">
        <v>25</v>
      </c>
      <c r="I19" s="73"/>
      <c r="J19" s="73"/>
      <c r="K19" s="73">
        <f>Twirling_Solo_SoloDance_Junior_Intermediate[[#This Row],[Judge 1
Tamara Beljak]]-J19</f>
        <v>0</v>
      </c>
      <c r="L19" s="7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Row],[Category]],Twirling_Solo_SoloDance_Junior_Intermediate[J1 TOTAL],"&gt;"&amp;Twirling_Solo_SoloDance_Junior_Intermediate[[#This Row],[J1 TOTAL]])+1</f>
        <v>18</v>
      </c>
      <c r="M19" s="73"/>
      <c r="N19" s="73"/>
      <c r="O19" s="73">
        <f>Twirling_Solo_SoloDance_Junior_Intermediate[[#This Row],[Judge 2
Tihomir Bendelja]]-Twirling_Solo_SoloDance_Junior_Intermediate[[#This Row],[J2 (-)]]</f>
        <v>0</v>
      </c>
      <c r="P19" s="7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Row],[Category]],Twirling_Solo_SoloDance_Junior_Intermediate[J2 TOTAL],"&gt;"&amp;Twirling_Solo_SoloDance_Junior_Intermediate[[#This Row],[J2 TOTAL]])+1</f>
        <v>18</v>
      </c>
      <c r="Q19" s="73"/>
      <c r="R19" s="73"/>
      <c r="S19" s="73">
        <f>Twirling_Solo_SoloDance_Junior_Intermediate[[#This Row],[Judge 3
Tea Softić]]-R19</f>
        <v>0</v>
      </c>
      <c r="T19" s="7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Row],[Category]],Twirling_Solo_SoloDance_Junior_Intermediate[J3 TOTAL],"&gt;"&amp;Twirling_Solo_SoloDance_Junior_Intermediate[[#This Row],[J3 TOTAL]])+1</f>
        <v>1</v>
      </c>
      <c r="U19" s="73"/>
      <c r="V19" s="73"/>
      <c r="W19" s="73">
        <f>Twirling_Solo_SoloDance_Junior_Intermediate[[#This Row],[Judge 4
Bernard Barač]]-V19</f>
        <v>0</v>
      </c>
      <c r="X19" s="7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Row],[Category]],Twirling_Solo_SoloDance_Junior_Intermediate[J4 TOTAL],"&gt;"&amp;Twirling_Solo_SoloDance_Junior_Intermediate[[#This Row],[J4 TOTAL]])+1</f>
        <v>1</v>
      </c>
      <c r="Y19" s="73"/>
      <c r="Z19" s="73"/>
      <c r="AA19" s="73">
        <f>Twirling_Solo_SoloDance_Junior_Intermediate[[#This Row],[Judge 5
Barbara Novina]]-Y19</f>
        <v>0</v>
      </c>
      <c r="AB19" s="74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Row],[Category]],Twirling_Solo_SoloDance_Junior_Intermediate[J5 TOTAL],"&gt;"&amp;Twirling_Solo_SoloDance_Junior_Intermediate[[#This Row],[J5 TOTAL]])+1</f>
        <v>1</v>
      </c>
      <c r="AC19" s="73">
        <f>SUM(Twirling_Solo_SoloDance_Junior_Intermediate[[#This Row],[J1 TOTAL]]+Twirling_Solo_SoloDance_Junior_Intermediate[[#This Row],[J2 TOTAL]]+Twirling_Solo_SoloDance_Junior_Intermediate[[#This Row],[J3 TOTAL]]+Twirling_Solo_SoloDance_Junior_Intermediate[[#This Row],[J4 TOTAL]])+Twirling_Solo_SoloDance_Junior_Intermediate[[#This Row],[J5 TOTAL]]</f>
        <v>0</v>
      </c>
      <c r="AD19" s="73"/>
      <c r="AE19" s="73"/>
      <c r="AF19" s="73">
        <f>SUM(Twirling_Solo_SoloDance_Junior_Intermediate[[#This Row],[Total]]-Twirling_Solo_SoloDance_Junior_Intermediate[[#This Row],[Low]]-Twirling_Solo_SoloDance_Junior_Intermediate[[#This Row],[High]])</f>
        <v>0</v>
      </c>
      <c r="AG19" s="73" t="e">
        <f t="shared" si="0"/>
        <v>#DIV/0!</v>
      </c>
      <c r="AH19" s="75">
        <f>Twirling_Solo_SoloDance_Junior_Intermediate[[#This Row],[Final Total]]</f>
        <v>0</v>
      </c>
      <c r="AI19" s="76">
        <f>COUNTIFS(Twirling_Solo_SoloDance_Junior_Intermediate[Age
Division],Twirling_Solo_SoloDance_Junior_Intermediate[[#This Row],[Age
Division]],Twirling_Solo_SoloDance_Junior_Intermediate[Category],Twirling_Solo_SoloDance_Junior_Intermediate[[#This Row],[Category]],Twirling_Solo_SoloDance_Junior_Intermediate[FINAL SCORE],"&gt;"&amp;Twirling_Solo_SoloDance_Junior_Intermediate[[#This Row],[FINAL SCORE]])+1</f>
        <v>18</v>
      </c>
      <c r="AJ19" s="71" t="s">
        <v>33</v>
      </c>
    </row>
  </sheetData>
  <sheetProtection algorithmName="SHA-512" hashValue="6cethTe3vbhp/a3oCgoxkaaXFifz6UD/cvspKO1YpXzXtq2TVDgpf0xoibitBKD++LCXRczxEfWvl581PNkFlw==" saltValue="TmqiQ/eEikCC6zFuthtkc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CC3AE-1EE7-46EB-AE6B-B250577890C8}">
  <sheetPr codeName="Sheet18"/>
  <dimension ref="A1:BC23"/>
  <sheetViews>
    <sheetView zoomScale="80" zoomScaleNormal="80" workbookViewId="0">
      <pane xSplit="8" topLeftCell="Q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7.6640625" style="30" customWidth="1"/>
    <col min="5" max="5" width="8.44140625" style="30" bestFit="1" customWidth="1"/>
    <col min="6" max="6" width="13.77734375" style="20" bestFit="1" customWidth="1"/>
    <col min="7" max="7" width="43.33203125" style="20" bestFit="1" customWidth="1"/>
    <col min="8" max="8" width="9.6640625" style="20" bestFit="1" customWidth="1"/>
    <col min="9" max="15" width="9.109375" style="20" hidden="1" customWidth="1"/>
    <col min="16" max="16" width="13.44140625" style="20" hidden="1" customWidth="1"/>
    <col min="17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120</v>
      </c>
      <c r="B2" s="19">
        <v>2</v>
      </c>
      <c r="C2" s="19" t="s">
        <v>82</v>
      </c>
      <c r="D2" s="19" t="s">
        <v>27</v>
      </c>
      <c r="E2" s="19" t="s">
        <v>56</v>
      </c>
      <c r="F2" s="31" t="s">
        <v>166</v>
      </c>
      <c r="G2" s="19" t="s">
        <v>49</v>
      </c>
      <c r="H2" s="20" t="s">
        <v>25</v>
      </c>
      <c r="I2" s="21"/>
      <c r="J2" s="22"/>
      <c r="K2" s="23">
        <f>Twirling_Solo_SoloDance_Junior_Advanced[[#This Row],[Judge 1
Tamara Beljak]]-J2</f>
        <v>0</v>
      </c>
      <c r="L2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Row],[Category]],Twirling_Solo_SoloDance_Junior_Advanced[J1 TOTAL],"&gt;"&amp;Twirling_Solo_SoloDance_Junior_Advanced[[#This Row],[J1 TOTAL]])+1</f>
        <v>1</v>
      </c>
      <c r="M2" s="21"/>
      <c r="N2" s="22"/>
      <c r="O2" s="23">
        <f>Twirling_Solo_SoloDance_Junior_Advanced[[#This Row],[Judge 2
Tihomir Bendelja]]-Twirling_Solo_SoloDance_Junior_Advanced[[#This Row],[J2 (-)]]</f>
        <v>0</v>
      </c>
      <c r="P2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Row],[Category]],Twirling_Solo_SoloDance_Junior_Advanced[J2 TOTAL],"&gt;"&amp;Twirling_Solo_SoloDance_Junior_Advanced[[#This Row],[J2 TOTAL]])+1</f>
        <v>1</v>
      </c>
      <c r="Q2" s="21">
        <v>35.5</v>
      </c>
      <c r="R2" s="22">
        <v>0.5</v>
      </c>
      <c r="S2" s="23">
        <f>Twirling_Solo_SoloDance_Junior_Advanced[[#This Row],[Judge 3
Tea Softić]]-R2</f>
        <v>35</v>
      </c>
      <c r="T2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Row],[Category]],Twirling_Solo_SoloDance_Junior_Advanced[J3 TOTAL],"&gt;"&amp;Twirling_Solo_SoloDance_Junior_Advanced[[#This Row],[J3 TOTAL]])+1</f>
        <v>1</v>
      </c>
      <c r="U2" s="21">
        <v>27.3</v>
      </c>
      <c r="V2" s="22">
        <v>0.5</v>
      </c>
      <c r="W2" s="23">
        <f>Twirling_Solo_SoloDance_Junior_Advanced[[#This Row],[Judge 4
Bernard Barač]]-V2</f>
        <v>26.8</v>
      </c>
      <c r="X2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Row],[Category]],Twirling_Solo_SoloDance_Junior_Advanced[J4 TOTAL],"&gt;"&amp;Twirling_Solo_SoloDance_Junior_Advanced[[#This Row],[J4 TOTAL]])+1</f>
        <v>1</v>
      </c>
      <c r="Y2" s="21">
        <v>24.7</v>
      </c>
      <c r="Z2" s="22">
        <v>0.5</v>
      </c>
      <c r="AA2" s="23">
        <f>Twirling_Solo_SoloDance_Junior_Advanced[[#This Row],[Judge 5
Barbara Novina]]-Z2</f>
        <v>24.2</v>
      </c>
      <c r="AB2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Row],[Category]],Twirling_Solo_SoloDance_Junior_Advanced[J5 TOTAL],"&gt;"&amp;Twirling_Solo_SoloDance_Junior_Advanced[[#This Row],[J5 TOTAL]])+1</f>
        <v>2</v>
      </c>
      <c r="AC2" s="25">
        <f>SUM(Twirling_Solo_SoloDance_Junior_Advanced[[#This Row],[J1 TOTAL]]+Twirling_Solo_SoloDance_Junior_Advanced[[#This Row],[J2 TOTAL]]+Twirling_Solo_SoloDance_Junior_Advanced[[#This Row],[J3 TOTAL]]+Twirling_Solo_SoloDance_Junior_Advanced[[#This Row],[J4 TOTAL]])+Twirling_Solo_SoloDance_Junior_Advanced[[#This Row],[J5 TOTAL]]</f>
        <v>86</v>
      </c>
      <c r="AD2" s="25"/>
      <c r="AE2" s="25"/>
      <c r="AF2" s="25">
        <f>SUM(Twirling_Solo_SoloDance_Junior_Advanced[[#This Row],[Total]]-Twirling_Solo_SoloDance_Junior_Advanced[[#This Row],[Low]]-Twirling_Solo_SoloDance_Junior_Advanced[[#This Row],[High]])</f>
        <v>86</v>
      </c>
      <c r="AG2" s="25">
        <f t="shared" ref="AG2:AG7" si="0">AVERAGE(I2,M2,Q2,U2,Y2)</f>
        <v>29.166666666666668</v>
      </c>
      <c r="AH2" s="26">
        <f>Twirling_Solo_SoloDance_Junior_Advanced[[#This Row],[Final Total]]</f>
        <v>86</v>
      </c>
      <c r="AI2" s="28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Row],[Category]],Twirling_Solo_SoloDance_Junior_Advanced[FINAL SCORE],"&gt;"&amp;Twirling_Solo_SoloDance_Junior_Advanced[[#This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128</v>
      </c>
      <c r="B3" s="19">
        <v>2</v>
      </c>
      <c r="C3" s="19" t="s">
        <v>82</v>
      </c>
      <c r="D3" s="19" t="s">
        <v>27</v>
      </c>
      <c r="E3" s="19" t="s">
        <v>56</v>
      </c>
      <c r="F3" s="31" t="s">
        <v>68</v>
      </c>
      <c r="G3" s="19" t="s">
        <v>47</v>
      </c>
      <c r="H3" s="20" t="s">
        <v>25</v>
      </c>
      <c r="I3" s="21"/>
      <c r="J3" s="22"/>
      <c r="K3" s="23">
        <f>Twirling_Solo_SoloDance_Junior_Advanced[[#This Row],[Judge 1
Tamara Beljak]]-J3</f>
        <v>0</v>
      </c>
      <c r="L3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Row],[Category]],Twirling_Solo_SoloDance_Junior_Advanced[J1 TOTAL],"&gt;"&amp;Twirling_Solo_SoloDance_Junior_Advanced[[#This Row],[J1 TOTAL]])+1</f>
        <v>1</v>
      </c>
      <c r="M3" s="21"/>
      <c r="N3" s="22"/>
      <c r="O3" s="23">
        <f>Twirling_Solo_SoloDance_Junior_Advanced[[#This Row],[Judge 2
Tihomir Bendelja]]-Twirling_Solo_SoloDance_Junior_Advanced[[#This Row],[J2 (-)]]</f>
        <v>0</v>
      </c>
      <c r="P3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Row],[Category]],Twirling_Solo_SoloDance_Junior_Advanced[J2 TOTAL],"&gt;"&amp;Twirling_Solo_SoloDance_Junior_Advanced[[#This Row],[J2 TOTAL]])+1</f>
        <v>1</v>
      </c>
      <c r="Q3" s="21">
        <v>31.4</v>
      </c>
      <c r="R3" s="22">
        <v>0</v>
      </c>
      <c r="S3" s="23">
        <f>Twirling_Solo_SoloDance_Junior_Advanced[[#This Row],[Judge 3
Tea Softić]]-R3</f>
        <v>31.4</v>
      </c>
      <c r="T3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Row],[Category]],Twirling_Solo_SoloDance_Junior_Advanced[J3 TOTAL],"&gt;"&amp;Twirling_Solo_SoloDance_Junior_Advanced[[#This Row],[J3 TOTAL]])+1</f>
        <v>3</v>
      </c>
      <c r="U3" s="21">
        <v>26.7</v>
      </c>
      <c r="V3" s="22">
        <v>0</v>
      </c>
      <c r="W3" s="23">
        <f>Twirling_Solo_SoloDance_Junior_Advanced[[#This Row],[Judge 4
Bernard Barač]]-V3</f>
        <v>26.7</v>
      </c>
      <c r="X3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Row],[Category]],Twirling_Solo_SoloDance_Junior_Advanced[J4 TOTAL],"&gt;"&amp;Twirling_Solo_SoloDance_Junior_Advanced[[#This Row],[J4 TOTAL]])+1</f>
        <v>2</v>
      </c>
      <c r="Y3" s="21">
        <v>24.95</v>
      </c>
      <c r="Z3" s="22">
        <v>0</v>
      </c>
      <c r="AA3" s="23">
        <f>Twirling_Solo_SoloDance_Junior_Advanced[[#This Row],[Judge 5
Barbara Novina]]-Z3</f>
        <v>24.95</v>
      </c>
      <c r="AB3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Row],[Category]],Twirling_Solo_SoloDance_Junior_Advanced[J5 TOTAL],"&gt;"&amp;Twirling_Solo_SoloDance_Junior_Advanced[[#This Row],[J5 TOTAL]])+1</f>
        <v>1</v>
      </c>
      <c r="AC3" s="25">
        <f>SUM(Twirling_Solo_SoloDance_Junior_Advanced[[#This Row],[J1 TOTAL]]+Twirling_Solo_SoloDance_Junior_Advanced[[#This Row],[J2 TOTAL]]+Twirling_Solo_SoloDance_Junior_Advanced[[#This Row],[J3 TOTAL]]+Twirling_Solo_SoloDance_Junior_Advanced[[#This Row],[J4 TOTAL]])+Twirling_Solo_SoloDance_Junior_Advanced[[#This Row],[J5 TOTAL]]</f>
        <v>83.05</v>
      </c>
      <c r="AD3" s="25"/>
      <c r="AE3" s="25"/>
      <c r="AF3" s="25">
        <f>SUM(Twirling_Solo_SoloDance_Junior_Advanced[[#This Row],[Total]]-Twirling_Solo_SoloDance_Junior_Advanced[[#This Row],[Low]]-Twirling_Solo_SoloDance_Junior_Advanced[[#This Row],[High]])</f>
        <v>83.05</v>
      </c>
      <c r="AG3" s="25">
        <f t="shared" si="0"/>
        <v>27.683333333333334</v>
      </c>
      <c r="AH3" s="26">
        <f>Twirling_Solo_SoloDance_Junior_Advanced[[#This Row],[Final Total]]</f>
        <v>83.05</v>
      </c>
      <c r="AI3" s="28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Row],[Category]],Twirling_Solo_SoloDance_Junior_Advanced[FINAL SCORE],"&gt;"&amp;Twirling_Solo_SoloDance_Junior_Advanced[[#This Row],[FINAL SCORE]])+1</f>
        <v>2</v>
      </c>
      <c r="AJ3" s="18" t="s">
        <v>33</v>
      </c>
    </row>
    <row r="4" spans="1:55" ht="15.6" x14ac:dyDescent="0.3">
      <c r="A4" s="18">
        <v>124</v>
      </c>
      <c r="B4" s="19">
        <v>2</v>
      </c>
      <c r="C4" s="19" t="s">
        <v>82</v>
      </c>
      <c r="D4" s="19" t="s">
        <v>27</v>
      </c>
      <c r="E4" s="19" t="s">
        <v>56</v>
      </c>
      <c r="F4" s="31" t="s">
        <v>133</v>
      </c>
      <c r="G4" s="19" t="s">
        <v>32</v>
      </c>
      <c r="H4" s="20" t="s">
        <v>25</v>
      </c>
      <c r="I4" s="21"/>
      <c r="J4" s="22"/>
      <c r="K4" s="23">
        <f>Twirling_Solo_SoloDance_Junior_Advanced[[#This Row],[Judge 1
Tamara Beljak]]-J4</f>
        <v>0</v>
      </c>
      <c r="L4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Row],[Category]],Twirling_Solo_SoloDance_Junior_Advanced[J1 TOTAL],"&gt;"&amp;Twirling_Solo_SoloDance_Junior_Advanced[[#This Row],[J1 TOTAL]])+1</f>
        <v>1</v>
      </c>
      <c r="M4" s="21"/>
      <c r="N4" s="22"/>
      <c r="O4" s="23">
        <f>Twirling_Solo_SoloDance_Junior_Advanced[[#This Row],[Judge 2
Tihomir Bendelja]]-Twirling_Solo_SoloDance_Junior_Advanced[[#This Row],[J2 (-)]]</f>
        <v>0</v>
      </c>
      <c r="P4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Row],[Category]],Twirling_Solo_SoloDance_Junior_Advanced[J2 TOTAL],"&gt;"&amp;Twirling_Solo_SoloDance_Junior_Advanced[[#This Row],[J2 TOTAL]])+1</f>
        <v>1</v>
      </c>
      <c r="Q4" s="21">
        <v>31.4</v>
      </c>
      <c r="R4" s="22">
        <v>0</v>
      </c>
      <c r="S4" s="23">
        <f>Twirling_Solo_SoloDance_Junior_Advanced[[#This Row],[Judge 3
Tea Softić]]-R4</f>
        <v>31.4</v>
      </c>
      <c r="T4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Row],[Category]],Twirling_Solo_SoloDance_Junior_Advanced[J3 TOTAL],"&gt;"&amp;Twirling_Solo_SoloDance_Junior_Advanced[[#This Row],[J3 TOTAL]])+1</f>
        <v>3</v>
      </c>
      <c r="U4" s="21">
        <v>26.7</v>
      </c>
      <c r="V4" s="22">
        <v>0</v>
      </c>
      <c r="W4" s="23">
        <f>Twirling_Solo_SoloDance_Junior_Advanced[[#This Row],[Judge 4
Bernard Barač]]-V4</f>
        <v>26.7</v>
      </c>
      <c r="X4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Row],[Category]],Twirling_Solo_SoloDance_Junior_Advanced[J4 TOTAL],"&gt;"&amp;Twirling_Solo_SoloDance_Junior_Advanced[[#This Row],[J4 TOTAL]])+1</f>
        <v>2</v>
      </c>
      <c r="Y4" s="21">
        <v>23.9</v>
      </c>
      <c r="Z4" s="22">
        <v>0</v>
      </c>
      <c r="AA4" s="23">
        <f>Twirling_Solo_SoloDance_Junior_Advanced[[#This Row],[Judge 5
Barbara Novina]]-Z4</f>
        <v>23.9</v>
      </c>
      <c r="AB4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Row],[Category]],Twirling_Solo_SoloDance_Junior_Advanced[J5 TOTAL],"&gt;"&amp;Twirling_Solo_SoloDance_Junior_Advanced[[#This Row],[J5 TOTAL]])+1</f>
        <v>3</v>
      </c>
      <c r="AC4" s="25">
        <f>SUM(Twirling_Solo_SoloDance_Junior_Advanced[[#This Row],[J1 TOTAL]]+Twirling_Solo_SoloDance_Junior_Advanced[[#This Row],[J2 TOTAL]]+Twirling_Solo_SoloDance_Junior_Advanced[[#This Row],[J3 TOTAL]]+Twirling_Solo_SoloDance_Junior_Advanced[[#This Row],[J4 TOTAL]])+Twirling_Solo_SoloDance_Junior_Advanced[[#This Row],[J5 TOTAL]]</f>
        <v>82</v>
      </c>
      <c r="AD4" s="25"/>
      <c r="AE4" s="25"/>
      <c r="AF4" s="25">
        <f>SUM(Twirling_Solo_SoloDance_Junior_Advanced[[#This Row],[Total]]-Twirling_Solo_SoloDance_Junior_Advanced[[#This Row],[Low]]-Twirling_Solo_SoloDance_Junior_Advanced[[#This Row],[High]])</f>
        <v>82</v>
      </c>
      <c r="AG4" s="25">
        <f t="shared" si="0"/>
        <v>27.333333333333332</v>
      </c>
      <c r="AH4" s="26">
        <f>Twirling_Solo_SoloDance_Junior_Advanced[[#This Row],[Final Total]]</f>
        <v>82</v>
      </c>
      <c r="AI4" s="28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Row],[Category]],Twirling_Solo_SoloDance_Junior_Advanced[FINAL SCORE],"&gt;"&amp;Twirling_Solo_SoloDance_Junior_Advanced[[#This Row],[FINAL SCORE]])+1</f>
        <v>3</v>
      </c>
      <c r="AJ4" s="18" t="s">
        <v>33</v>
      </c>
    </row>
    <row r="5" spans="1:55" ht="15.6" x14ac:dyDescent="0.3">
      <c r="A5" s="18">
        <v>126</v>
      </c>
      <c r="B5" s="19">
        <v>2</v>
      </c>
      <c r="C5" s="19" t="s">
        <v>82</v>
      </c>
      <c r="D5" s="19" t="s">
        <v>27</v>
      </c>
      <c r="E5" s="19" t="s">
        <v>56</v>
      </c>
      <c r="F5" s="31" t="s">
        <v>59</v>
      </c>
      <c r="G5" s="19" t="s">
        <v>49</v>
      </c>
      <c r="H5" s="20" t="s">
        <v>25</v>
      </c>
      <c r="I5" s="21"/>
      <c r="J5" s="22"/>
      <c r="K5" s="23">
        <f>Twirling_Solo_SoloDance_Junior_Advanced[[#This Row],[Judge 1
Tamara Beljak]]-J5</f>
        <v>0</v>
      </c>
      <c r="L5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Row],[Category]],Twirling_Solo_SoloDance_Junior_Advanced[J1 TOTAL],"&gt;"&amp;Twirling_Solo_SoloDance_Junior_Advanced[[#This Row],[J1 TOTAL]])+1</f>
        <v>1</v>
      </c>
      <c r="M5" s="21"/>
      <c r="N5" s="22"/>
      <c r="O5" s="23">
        <f>Twirling_Solo_SoloDance_Junior_Advanced[[#This Row],[Judge 2
Tihomir Bendelja]]-Twirling_Solo_SoloDance_Junior_Advanced[[#This Row],[J2 (-)]]</f>
        <v>0</v>
      </c>
      <c r="P5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Row],[Category]],Twirling_Solo_SoloDance_Junior_Advanced[J2 TOTAL],"&gt;"&amp;Twirling_Solo_SoloDance_Junior_Advanced[[#This Row],[J2 TOTAL]])+1</f>
        <v>1</v>
      </c>
      <c r="Q5" s="21">
        <v>32.5</v>
      </c>
      <c r="R5" s="22">
        <v>0.5</v>
      </c>
      <c r="S5" s="23">
        <f>Twirling_Solo_SoloDance_Junior_Advanced[[#This Row],[Judge 3
Tea Softić]]-R5</f>
        <v>32</v>
      </c>
      <c r="T5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Row],[Category]],Twirling_Solo_SoloDance_Junior_Advanced[J3 TOTAL],"&gt;"&amp;Twirling_Solo_SoloDance_Junior_Advanced[[#This Row],[J3 TOTAL]])+1</f>
        <v>2</v>
      </c>
      <c r="U5" s="21">
        <v>26.4</v>
      </c>
      <c r="V5" s="22">
        <v>0.5</v>
      </c>
      <c r="W5" s="23">
        <f>Twirling_Solo_SoloDance_Junior_Advanced[[#This Row],[Judge 4
Bernard Barač]]-V5</f>
        <v>25.9</v>
      </c>
      <c r="X5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Row],[Category]],Twirling_Solo_SoloDance_Junior_Advanced[J4 TOTAL],"&gt;"&amp;Twirling_Solo_SoloDance_Junior_Advanced[[#This Row],[J4 TOTAL]])+1</f>
        <v>4</v>
      </c>
      <c r="Y5" s="21">
        <v>24.35</v>
      </c>
      <c r="Z5" s="22">
        <v>1</v>
      </c>
      <c r="AA5" s="23">
        <f>Twirling_Solo_SoloDance_Junior_Advanced[[#This Row],[Judge 5
Barbara Novina]]-Z5</f>
        <v>23.35</v>
      </c>
      <c r="AB5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Row],[Category]],Twirling_Solo_SoloDance_Junior_Advanced[J5 TOTAL],"&gt;"&amp;Twirling_Solo_SoloDance_Junior_Advanced[[#This Row],[J5 TOTAL]])+1</f>
        <v>4</v>
      </c>
      <c r="AC5" s="25">
        <f>SUM(Twirling_Solo_SoloDance_Junior_Advanced[[#This Row],[J1 TOTAL]]+Twirling_Solo_SoloDance_Junior_Advanced[[#This Row],[J2 TOTAL]]+Twirling_Solo_SoloDance_Junior_Advanced[[#This Row],[J3 TOTAL]]+Twirling_Solo_SoloDance_Junior_Advanced[[#This Row],[J4 TOTAL]])+Twirling_Solo_SoloDance_Junior_Advanced[[#This Row],[J5 TOTAL]]</f>
        <v>81.25</v>
      </c>
      <c r="AD5" s="25"/>
      <c r="AE5" s="25"/>
      <c r="AF5" s="25">
        <f>SUM(Twirling_Solo_SoloDance_Junior_Advanced[[#This Row],[Total]]-Twirling_Solo_SoloDance_Junior_Advanced[[#This Row],[Low]]-Twirling_Solo_SoloDance_Junior_Advanced[[#This Row],[High]])</f>
        <v>81.25</v>
      </c>
      <c r="AG5" s="25">
        <f t="shared" si="0"/>
        <v>27.75</v>
      </c>
      <c r="AH5" s="26">
        <f>Twirling_Solo_SoloDance_Junior_Advanced[[#This Row],[Final Total]]</f>
        <v>81.25</v>
      </c>
      <c r="AI5" s="28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Row],[Category]],Twirling_Solo_SoloDance_Junior_Advanced[FINAL SCORE],"&gt;"&amp;Twirling_Solo_SoloDance_Junior_Advanced[[#This Row],[FINAL SCORE]])+1</f>
        <v>4</v>
      </c>
      <c r="AJ5" s="18" t="s">
        <v>33</v>
      </c>
    </row>
    <row r="6" spans="1:55" ht="15.6" x14ac:dyDescent="0.3">
      <c r="A6" s="18">
        <v>122</v>
      </c>
      <c r="B6" s="19">
        <v>2</v>
      </c>
      <c r="C6" s="19" t="s">
        <v>82</v>
      </c>
      <c r="D6" s="19" t="s">
        <v>27</v>
      </c>
      <c r="E6" s="19" t="s">
        <v>56</v>
      </c>
      <c r="F6" s="31" t="s">
        <v>167</v>
      </c>
      <c r="G6" s="19" t="s">
        <v>67</v>
      </c>
      <c r="H6" s="20" t="s">
        <v>25</v>
      </c>
      <c r="I6" s="21"/>
      <c r="J6" s="22"/>
      <c r="K6" s="23">
        <f>Twirling_Solo_SoloDance_Junior_Advanced[[#This Row],[Judge 1
Tamara Beljak]]-J6</f>
        <v>0</v>
      </c>
      <c r="L6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Row],[Category]],Twirling_Solo_SoloDance_Junior_Advanced[J1 TOTAL],"&gt;"&amp;Twirling_Solo_SoloDance_Junior_Advanced[[#This Row],[J1 TOTAL]])+1</f>
        <v>1</v>
      </c>
      <c r="M6" s="21"/>
      <c r="N6" s="22"/>
      <c r="O6" s="23">
        <f>Twirling_Solo_SoloDance_Junior_Advanced[[#This Row],[Judge 2
Tihomir Bendelja]]-Twirling_Solo_SoloDance_Junior_Advanced[[#This Row],[J2 (-)]]</f>
        <v>0</v>
      </c>
      <c r="P6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Row],[Category]],Twirling_Solo_SoloDance_Junior_Advanced[J2 TOTAL],"&gt;"&amp;Twirling_Solo_SoloDance_Junior_Advanced[[#This Row],[J2 TOTAL]])+1</f>
        <v>1</v>
      </c>
      <c r="Q6" s="21">
        <v>27.9</v>
      </c>
      <c r="R6" s="22">
        <v>2</v>
      </c>
      <c r="S6" s="23">
        <f>Twirling_Solo_SoloDance_Junior_Advanced[[#This Row],[Judge 3
Tea Softić]]-R6</f>
        <v>25.9</v>
      </c>
      <c r="T6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Row],[Category]],Twirling_Solo_SoloDance_Junior_Advanced[J3 TOTAL],"&gt;"&amp;Twirling_Solo_SoloDance_Junior_Advanced[[#This Row],[J3 TOTAL]])+1</f>
        <v>5</v>
      </c>
      <c r="U6" s="21">
        <v>26.4</v>
      </c>
      <c r="V6" s="22">
        <v>2</v>
      </c>
      <c r="W6" s="23">
        <f>Twirling_Solo_SoloDance_Junior_Advanced[[#This Row],[Judge 4
Bernard Barač]]-V6</f>
        <v>24.4</v>
      </c>
      <c r="X6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Row],[Category]],Twirling_Solo_SoloDance_Junior_Advanced[J4 TOTAL],"&gt;"&amp;Twirling_Solo_SoloDance_Junior_Advanced[[#This Row],[J4 TOTAL]])+1</f>
        <v>5</v>
      </c>
      <c r="Y6" s="21">
        <v>23.2</v>
      </c>
      <c r="Z6" s="22">
        <v>2</v>
      </c>
      <c r="AA6" s="23">
        <f>Twirling_Solo_SoloDance_Junior_Advanced[[#This Row],[Judge 5
Barbara Novina]]-Z6</f>
        <v>21.2</v>
      </c>
      <c r="AB6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Row],[Category]],Twirling_Solo_SoloDance_Junior_Advanced[J5 TOTAL],"&gt;"&amp;Twirling_Solo_SoloDance_Junior_Advanced[[#This Row],[J5 TOTAL]])+1</f>
        <v>5</v>
      </c>
      <c r="AC6" s="25">
        <f>SUM(Twirling_Solo_SoloDance_Junior_Advanced[[#This Row],[J1 TOTAL]]+Twirling_Solo_SoloDance_Junior_Advanced[[#This Row],[J2 TOTAL]]+Twirling_Solo_SoloDance_Junior_Advanced[[#This Row],[J3 TOTAL]]+Twirling_Solo_SoloDance_Junior_Advanced[[#This Row],[J4 TOTAL]])+Twirling_Solo_SoloDance_Junior_Advanced[[#This Row],[J5 TOTAL]]</f>
        <v>71.5</v>
      </c>
      <c r="AD6" s="25"/>
      <c r="AE6" s="25"/>
      <c r="AF6" s="25">
        <f>SUM(Twirling_Solo_SoloDance_Junior_Advanced[[#This Row],[Total]]-Twirling_Solo_SoloDance_Junior_Advanced[[#This Row],[Low]]-Twirling_Solo_SoloDance_Junior_Advanced[[#This Row],[High]])</f>
        <v>71.5</v>
      </c>
      <c r="AG6" s="25">
        <f t="shared" si="0"/>
        <v>25.833333333333332</v>
      </c>
      <c r="AH6" s="26">
        <f>Twirling_Solo_SoloDance_Junior_Advanced[[#This Row],[Final Total]]</f>
        <v>71.5</v>
      </c>
      <c r="AI6" s="28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Row],[Category]],Twirling_Solo_SoloDance_Junior_Advanced[FINAL SCORE],"&gt;"&amp;Twirling_Solo_SoloDance_Junior_Advanced[[#This Row],[FINAL SCORE]])+1</f>
        <v>5</v>
      </c>
      <c r="AJ6" s="18" t="s">
        <v>33</v>
      </c>
    </row>
    <row r="7" spans="1:55" ht="15.6" x14ac:dyDescent="0.3">
      <c r="A7" s="18">
        <v>118</v>
      </c>
      <c r="B7" s="19">
        <v>2</v>
      </c>
      <c r="C7" s="19" t="s">
        <v>82</v>
      </c>
      <c r="D7" s="19" t="s">
        <v>27</v>
      </c>
      <c r="E7" s="19" t="s">
        <v>56</v>
      </c>
      <c r="F7" s="31" t="s">
        <v>165</v>
      </c>
      <c r="G7" s="19" t="s">
        <v>32</v>
      </c>
      <c r="H7" s="20" t="s">
        <v>25</v>
      </c>
      <c r="I7" s="21"/>
      <c r="J7" s="22"/>
      <c r="K7" s="23">
        <f>Twirling_Solo_SoloDance_Junior_Advanced[[#This Row],[Judge 1
Tamara Beljak]]-J7</f>
        <v>0</v>
      </c>
      <c r="L7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Row],[Category]],Twirling_Solo_SoloDance_Junior_Advanced[J1 TOTAL],"&gt;"&amp;Twirling_Solo_SoloDance_Junior_Advanced[[#This Row],[J1 TOTAL]])+1</f>
        <v>1</v>
      </c>
      <c r="M7" s="21"/>
      <c r="N7" s="22"/>
      <c r="O7" s="23">
        <f>Twirling_Solo_SoloDance_Junior_Advanced[[#This Row],[Judge 2
Tihomir Bendelja]]-Twirling_Solo_SoloDance_Junior_Advanced[[#This Row],[J2 (-)]]</f>
        <v>0</v>
      </c>
      <c r="P7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Row],[Category]],Twirling_Solo_SoloDance_Junior_Advanced[J2 TOTAL],"&gt;"&amp;Twirling_Solo_SoloDance_Junior_Advanced[[#This Row],[J2 TOTAL]])+1</f>
        <v>1</v>
      </c>
      <c r="Q7" s="21">
        <v>15.6</v>
      </c>
      <c r="R7" s="22">
        <v>4</v>
      </c>
      <c r="S7" s="23">
        <f>Twirling_Solo_SoloDance_Junior_Advanced[[#This Row],[Judge 3
Tea Softić]]-R7</f>
        <v>11.6</v>
      </c>
      <c r="T7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Row],[Category]],Twirling_Solo_SoloDance_Junior_Advanced[J3 TOTAL],"&gt;"&amp;Twirling_Solo_SoloDance_Junior_Advanced[[#This Row],[J3 TOTAL]])+1</f>
        <v>6</v>
      </c>
      <c r="U7" s="21">
        <v>13.9</v>
      </c>
      <c r="V7" s="22">
        <v>4</v>
      </c>
      <c r="W7" s="23">
        <f>Twirling_Solo_SoloDance_Junior_Advanced[[#This Row],[Judge 4
Bernard Barač]]-V7</f>
        <v>9.9</v>
      </c>
      <c r="X7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Row],[Category]],Twirling_Solo_SoloDance_Junior_Advanced[J4 TOTAL],"&gt;"&amp;Twirling_Solo_SoloDance_Junior_Advanced[[#This Row],[J4 TOTAL]])+1</f>
        <v>6</v>
      </c>
      <c r="Y7" s="21">
        <v>12</v>
      </c>
      <c r="Z7" s="22">
        <v>4</v>
      </c>
      <c r="AA7" s="23">
        <f>Twirling_Solo_SoloDance_Junior_Advanced[[#This Row],[Judge 5
Barbara Novina]]-Z7</f>
        <v>8</v>
      </c>
      <c r="AB7" s="24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Row],[Category]],Twirling_Solo_SoloDance_Junior_Advanced[J5 TOTAL],"&gt;"&amp;Twirling_Solo_SoloDance_Junior_Advanced[[#This Row],[J5 TOTAL]])+1</f>
        <v>6</v>
      </c>
      <c r="AC7" s="25">
        <f>SUM(Twirling_Solo_SoloDance_Junior_Advanced[[#This Row],[J1 TOTAL]]+Twirling_Solo_SoloDance_Junior_Advanced[[#This Row],[J2 TOTAL]]+Twirling_Solo_SoloDance_Junior_Advanced[[#This Row],[J3 TOTAL]]+Twirling_Solo_SoloDance_Junior_Advanced[[#This Row],[J4 TOTAL]])+Twirling_Solo_SoloDance_Junior_Advanced[[#This Row],[J5 TOTAL]]</f>
        <v>29.5</v>
      </c>
      <c r="AD7" s="25"/>
      <c r="AE7" s="25"/>
      <c r="AF7" s="25">
        <f>SUM(Twirling_Solo_SoloDance_Junior_Advanced[[#This Row],[Total]]-Twirling_Solo_SoloDance_Junior_Advanced[[#This Row],[Low]]-Twirling_Solo_SoloDance_Junior_Advanced[[#This Row],[High]])</f>
        <v>29.5</v>
      </c>
      <c r="AG7" s="25">
        <f t="shared" si="0"/>
        <v>13.833333333333334</v>
      </c>
      <c r="AH7" s="26">
        <f>Twirling_Solo_SoloDance_Junior_Advanced[[#This Row],[Final Total]]</f>
        <v>29.5</v>
      </c>
      <c r="AI7" s="27">
        <f>COUNTIFS(Twirling_Solo_SoloDance_Junior_Advanced[Age
Division],Twirling_Solo_SoloDance_Junior_Advanced[[#This Row],[Age
Division]],Twirling_Solo_SoloDance_Junior_Advanced[Category],Twirling_Solo_SoloDance_Junior_Advanced[[#This Row],[Category]],Twirling_Solo_SoloDance_Junior_Advanced[FINAL SCORE],"&gt;"&amp;Twirling_Solo_SoloDance_Junior_Advanced[[#This Row],[FINAL SCORE]])+1</f>
        <v>6</v>
      </c>
      <c r="AJ7" s="18" t="s">
        <v>33</v>
      </c>
    </row>
    <row r="11" spans="1:55" x14ac:dyDescent="0.3">
      <c r="R11" s="70"/>
    </row>
    <row r="12" spans="1:55" x14ac:dyDescent="0.3">
      <c r="R12" s="70"/>
    </row>
    <row r="13" spans="1:55" x14ac:dyDescent="0.3">
      <c r="R13" s="70"/>
    </row>
    <row r="14" spans="1:55" x14ac:dyDescent="0.3">
      <c r="R14" s="70"/>
    </row>
    <row r="15" spans="1:55" x14ac:dyDescent="0.3">
      <c r="R15" s="70"/>
    </row>
    <row r="16" spans="1:55" x14ac:dyDescent="0.3">
      <c r="R16" s="70"/>
    </row>
    <row r="17" spans="18:18" x14ac:dyDescent="0.3">
      <c r="R17" s="70"/>
    </row>
    <row r="18" spans="18:18" x14ac:dyDescent="0.3">
      <c r="R18" s="70"/>
    </row>
    <row r="19" spans="18:18" x14ac:dyDescent="0.3">
      <c r="R19" s="70"/>
    </row>
    <row r="20" spans="18:18" x14ac:dyDescent="0.3">
      <c r="R20" s="70"/>
    </row>
    <row r="21" spans="18:18" x14ac:dyDescent="0.3">
      <c r="R21" s="70"/>
    </row>
    <row r="22" spans="18:18" x14ac:dyDescent="0.3">
      <c r="R22" s="70"/>
    </row>
    <row r="23" spans="18:18" x14ac:dyDescent="0.3">
      <c r="R23" s="70"/>
    </row>
  </sheetData>
  <sheetProtection algorithmName="SHA-512" hashValue="E9FEJdLQW/eFLhKyjlQerqfijmb/fht5t+dHNHi4HQu3tEi5HWlaQwDurl2+qfUoOFkDgVpNGTu6rIM81ohGaw==" saltValue="YJhRrgaKPO0UQYy2jKSAB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E86EA-DA3F-4B65-8049-37F729B047BA}">
  <sheetPr codeName="Sheet24"/>
  <dimension ref="A1:BC7"/>
  <sheetViews>
    <sheetView zoomScale="80" zoomScaleNormal="80" workbookViewId="0">
      <pane xSplit="8" topLeftCell="M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5" width="9.6640625" style="30" bestFit="1" customWidth="1"/>
    <col min="6" max="6" width="27.6640625" style="20" customWidth="1"/>
    <col min="7" max="7" width="39.6640625" style="20" customWidth="1"/>
    <col min="8" max="8" width="7.77734375" style="20" customWidth="1"/>
    <col min="9" max="12" width="9.109375" style="20" hidden="1" customWidth="1"/>
    <col min="13" max="20" width="9.109375" style="20" customWidth="1"/>
    <col min="21" max="24" width="9.109375" style="20" hidden="1" customWidth="1"/>
    <col min="25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138</v>
      </c>
      <c r="B2" s="19">
        <v>2</v>
      </c>
      <c r="C2" s="19" t="s">
        <v>116</v>
      </c>
      <c r="D2" s="19" t="s">
        <v>30</v>
      </c>
      <c r="E2" s="19" t="s">
        <v>124</v>
      </c>
      <c r="F2" s="31" t="s">
        <v>176</v>
      </c>
      <c r="G2" s="19" t="s">
        <v>45</v>
      </c>
      <c r="H2" s="20" t="s">
        <v>25</v>
      </c>
      <c r="I2" s="21"/>
      <c r="J2" s="22"/>
      <c r="K2" s="23">
        <f>Twirling_Duet_DuetDance_Children[[#This Row],[Judge 1
Tamara Beljak]]-J2</f>
        <v>0</v>
      </c>
      <c r="L2" s="24">
        <f>COUNTIFS(Twirling_Duet_DuetDance_Children[Age
Division],Twirling_Duet_DuetDance_Children[[#This Row],[Age
Division]],Twirling_Duet_DuetDance_Children[Category],Twirling_Duet_DuetDance_Children[[#This Row],[Category]],Twirling_Duet_DuetDance_Children[J1 TOTAL],"&gt;"&amp;Twirling_Duet_DuetDance_Children[[#This Row],[J1 TOTAL]])+1</f>
        <v>1</v>
      </c>
      <c r="M2" s="21">
        <v>70.099999999999994</v>
      </c>
      <c r="N2" s="22">
        <v>1</v>
      </c>
      <c r="O2" s="23">
        <f>Twirling_Duet_DuetDance_Children[[#This Row],[Judge 2
Tihomir Bendelja]]-Twirling_Duet_DuetDance_Children[[#This Row],[J2 (-)]]</f>
        <v>69.099999999999994</v>
      </c>
      <c r="P2" s="24">
        <f>COUNTIFS(Twirling_Duet_DuetDance_Children[Age
Division],Twirling_Duet_DuetDance_Children[[#This Row],[Age
Division]],Twirling_Duet_DuetDance_Children[Category],Twirling_Duet_DuetDance_Children[[#This Row],[Category]],Twirling_Duet_DuetDance_Children[J2 TOTAL],"&gt;"&amp;Twirling_Duet_DuetDance_Children[[#This Row],[J2 TOTAL]])+1</f>
        <v>1</v>
      </c>
      <c r="Q2" s="21">
        <v>70.099999999999994</v>
      </c>
      <c r="R2" s="22">
        <v>1</v>
      </c>
      <c r="S2" s="23">
        <f>Twirling_Duet_DuetDance_Children[[#This Row],[Judge 3
Tea Softić]]-R2</f>
        <v>69.099999999999994</v>
      </c>
      <c r="T2" s="24">
        <f>COUNTIFS(Twirling_Duet_DuetDance_Children[Age
Division],Twirling_Duet_DuetDance_Children[[#This Row],[Age
Division]],Twirling_Duet_DuetDance_Children[Category],Twirling_Duet_DuetDance_Children[[#This Row],[Category]],Twirling_Duet_DuetDance_Children[J3 TOTAL],"&gt;"&amp;Twirling_Duet_DuetDance_Children[[#This Row],[J3 TOTAL]])+1</f>
        <v>1</v>
      </c>
      <c r="U2" s="21"/>
      <c r="V2" s="22"/>
      <c r="W2" s="23">
        <f>Twirling_Duet_DuetDance_Children[[#This Row],[Judge 4
Bernard Barač]]-V2</f>
        <v>0</v>
      </c>
      <c r="X2" s="24">
        <f>COUNTIFS(Twirling_Duet_DuetDance_Children[Age
Division],Twirling_Duet_DuetDance_Children[[#This Row],[Age
Division]],Twirling_Duet_DuetDance_Children[Category],Twirling_Duet_DuetDance_Children[[#This Row],[Category]],Twirling_Duet_DuetDance_Children[J4 TOTAL],"&gt;"&amp;Twirling_Duet_DuetDance_Children[[#This Row],[J4 TOTAL]])+1</f>
        <v>1</v>
      </c>
      <c r="Y2" s="21">
        <v>63.2</v>
      </c>
      <c r="Z2" s="22">
        <v>1</v>
      </c>
      <c r="AA2" s="23">
        <f>Twirling_Duet_DuetDance_Children[[#This Row],[Judge 5
Barbara Novina]]-Z2</f>
        <v>62.2</v>
      </c>
      <c r="AB2" s="24">
        <f>COUNTIFS(Twirling_Duet_DuetDance_Children[Age
Division],Twirling_Duet_DuetDance_Children[[#This Row],[Age
Division]],Twirling_Duet_DuetDance_Children[Category],Twirling_Duet_DuetDance_Children[[#This Row],[Category]],Twirling_Duet_DuetDance_Children[J5 TOTAL],"&gt;"&amp;Twirling_Duet_DuetDance_Children[[#This Row],[J5 TOTAL]])+1</f>
        <v>1</v>
      </c>
      <c r="AC2" s="25">
        <f>SUM(Twirling_Duet_DuetDance_Children[[#This Row],[J1 TOTAL]]+Twirling_Duet_DuetDance_Children[[#This Row],[J2 TOTAL]]+Twirling_Duet_DuetDance_Children[[#This Row],[J3 TOTAL]]+Twirling_Duet_DuetDance_Children[[#This Row],[J4 TOTAL]])+Twirling_Duet_DuetDance_Children[[#This Row],[J5 TOTAL]]</f>
        <v>200.39999999999998</v>
      </c>
      <c r="AD2" s="25"/>
      <c r="AE2" s="25"/>
      <c r="AF2" s="25">
        <f>SUM(Twirling_Duet_DuetDance_Children[[#This Row],[Total]]-Twirling_Duet_DuetDance_Children[[#This Row],[Low]]-Twirling_Duet_DuetDance_Children[[#This Row],[High]])</f>
        <v>200.39999999999998</v>
      </c>
      <c r="AG2" s="25">
        <f t="shared" ref="AG2:AG7" si="0">AVERAGE(I2,M2,Q2,U2,Y2)</f>
        <v>67.8</v>
      </c>
      <c r="AH2" s="26">
        <f>Twirling_Duet_DuetDance_Children[[#This Row],[Final Total]]</f>
        <v>200.39999999999998</v>
      </c>
      <c r="AI2" s="28">
        <f>COUNTIFS(Twirling_Duet_DuetDance_Children[Age
Division],Twirling_Duet_DuetDance_Children[[#This Row],[Age
Division]],Twirling_Duet_DuetDance_Children[Category],Twirling_Duet_DuetDance_Children[[#This Row],[Category]],Twirling_Duet_DuetDance_Children[FINAL SCORE],"&gt;"&amp;Twirling_Duet_DuetDance_Children[[#This Row],[FINAL SCORE]])+1</f>
        <v>1</v>
      </c>
      <c r="AJ2" s="18" t="s">
        <v>190</v>
      </c>
      <c r="AK2" s="16"/>
      <c r="AL2" s="68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136</v>
      </c>
      <c r="B3" s="19">
        <v>2</v>
      </c>
      <c r="C3" s="19" t="s">
        <v>116</v>
      </c>
      <c r="D3" s="19" t="s">
        <v>30</v>
      </c>
      <c r="E3" s="19" t="s">
        <v>124</v>
      </c>
      <c r="F3" s="31" t="s">
        <v>175</v>
      </c>
      <c r="G3" s="19" t="s">
        <v>31</v>
      </c>
      <c r="H3" s="20" t="s">
        <v>25</v>
      </c>
      <c r="I3" s="21"/>
      <c r="J3" s="22"/>
      <c r="K3" s="23">
        <f>Twirling_Duet_DuetDance_Children[[#This Row],[Judge 1
Tamara Beljak]]-J3</f>
        <v>0</v>
      </c>
      <c r="L3" s="24">
        <f>COUNTIFS(Twirling_Duet_DuetDance_Children[Age
Division],Twirling_Duet_DuetDance_Children[[#This Row],[Age
Division]],Twirling_Duet_DuetDance_Children[Category],Twirling_Duet_DuetDance_Children[[#This Row],[Category]],Twirling_Duet_DuetDance_Children[J1 TOTAL],"&gt;"&amp;Twirling_Duet_DuetDance_Children[[#This Row],[J1 TOTAL]])+1</f>
        <v>1</v>
      </c>
      <c r="M3" s="21">
        <v>69.7</v>
      </c>
      <c r="N3" s="22">
        <v>1</v>
      </c>
      <c r="O3" s="23">
        <f>Twirling_Duet_DuetDance_Children[[#This Row],[Judge 2
Tihomir Bendelja]]-Twirling_Duet_DuetDance_Children[[#This Row],[J2 (-)]]</f>
        <v>68.7</v>
      </c>
      <c r="P3" s="24">
        <f>COUNTIFS(Twirling_Duet_DuetDance_Children[Age
Division],Twirling_Duet_DuetDance_Children[[#This Row],[Age
Division]],Twirling_Duet_DuetDance_Children[Category],Twirling_Duet_DuetDance_Children[[#This Row],[Category]],Twirling_Duet_DuetDance_Children[J2 TOTAL],"&gt;"&amp;Twirling_Duet_DuetDance_Children[[#This Row],[J2 TOTAL]])+1</f>
        <v>2</v>
      </c>
      <c r="Q3" s="21">
        <v>69</v>
      </c>
      <c r="R3" s="22">
        <v>1</v>
      </c>
      <c r="S3" s="23">
        <f>Twirling_Duet_DuetDance_Children[[#This Row],[Judge 3
Tea Softić]]-R3</f>
        <v>68</v>
      </c>
      <c r="T3" s="24">
        <f>COUNTIFS(Twirling_Duet_DuetDance_Children[Age
Division],Twirling_Duet_DuetDance_Children[[#This Row],[Age
Division]],Twirling_Duet_DuetDance_Children[Category],Twirling_Duet_DuetDance_Children[[#This Row],[Category]],Twirling_Duet_DuetDance_Children[J3 TOTAL],"&gt;"&amp;Twirling_Duet_DuetDance_Children[[#This Row],[J3 TOTAL]])+1</f>
        <v>2</v>
      </c>
      <c r="U3" s="21"/>
      <c r="V3" s="22"/>
      <c r="W3" s="23">
        <f>Twirling_Duet_DuetDance_Children[[#This Row],[Judge 4
Bernard Barač]]-V3</f>
        <v>0</v>
      </c>
      <c r="X3" s="24">
        <f>COUNTIFS(Twirling_Duet_DuetDance_Children[Age
Division],Twirling_Duet_DuetDance_Children[[#This Row],[Age
Division]],Twirling_Duet_DuetDance_Children[Category],Twirling_Duet_DuetDance_Children[[#This Row],[Category]],Twirling_Duet_DuetDance_Children[J4 TOTAL],"&gt;"&amp;Twirling_Duet_DuetDance_Children[[#This Row],[J4 TOTAL]])+1</f>
        <v>1</v>
      </c>
      <c r="Y3" s="21">
        <v>60.8</v>
      </c>
      <c r="Z3" s="22">
        <v>1</v>
      </c>
      <c r="AA3" s="23">
        <f>Twirling_Duet_DuetDance_Children[[#This Row],[Judge 5
Barbara Novina]]-Z3</f>
        <v>59.8</v>
      </c>
      <c r="AB3" s="24">
        <f>COUNTIFS(Twirling_Duet_DuetDance_Children[Age
Division],Twirling_Duet_DuetDance_Children[[#This Row],[Age
Division]],Twirling_Duet_DuetDance_Children[Category],Twirling_Duet_DuetDance_Children[[#This Row],[Category]],Twirling_Duet_DuetDance_Children[J5 TOTAL],"&gt;"&amp;Twirling_Duet_DuetDance_Children[[#This Row],[J5 TOTAL]])+1</f>
        <v>3</v>
      </c>
      <c r="AC3" s="25">
        <f>SUM(Twirling_Duet_DuetDance_Children[[#This Row],[J1 TOTAL]]+Twirling_Duet_DuetDance_Children[[#This Row],[J2 TOTAL]]+Twirling_Duet_DuetDance_Children[[#This Row],[J3 TOTAL]]+Twirling_Duet_DuetDance_Children[[#This Row],[J4 TOTAL]])+Twirling_Duet_DuetDance_Children[[#This Row],[J5 TOTAL]]</f>
        <v>196.5</v>
      </c>
      <c r="AD3" s="25"/>
      <c r="AE3" s="25"/>
      <c r="AF3" s="25">
        <f>SUM(Twirling_Duet_DuetDance_Children[[#This Row],[Total]]-Twirling_Duet_DuetDance_Children[[#This Row],[Low]]-Twirling_Duet_DuetDance_Children[[#This Row],[High]])</f>
        <v>196.5</v>
      </c>
      <c r="AG3" s="25">
        <f t="shared" si="0"/>
        <v>66.5</v>
      </c>
      <c r="AH3" s="26">
        <f>Twirling_Duet_DuetDance_Children[[#This Row],[Final Total]]</f>
        <v>196.5</v>
      </c>
      <c r="AI3" s="28">
        <f>COUNTIFS(Twirling_Duet_DuetDance_Children[Age
Division],Twirling_Duet_DuetDance_Children[[#This Row],[Age
Division]],Twirling_Duet_DuetDance_Children[Category],Twirling_Duet_DuetDance_Children[[#This Row],[Category]],Twirling_Duet_DuetDance_Children[FINAL SCORE],"&gt;"&amp;Twirling_Duet_DuetDance_Children[[#This Row],[FINAL SCORE]])+1</f>
        <v>2</v>
      </c>
      <c r="AJ3" s="18" t="s">
        <v>190</v>
      </c>
      <c r="AL3" s="68"/>
    </row>
    <row r="4" spans="1:55" ht="15.6" x14ac:dyDescent="0.3">
      <c r="A4" s="18">
        <v>132</v>
      </c>
      <c r="B4" s="19">
        <v>2</v>
      </c>
      <c r="C4" s="19" t="s">
        <v>116</v>
      </c>
      <c r="D4" s="19" t="s">
        <v>30</v>
      </c>
      <c r="E4" s="19" t="s">
        <v>124</v>
      </c>
      <c r="F4" s="31" t="s">
        <v>173</v>
      </c>
      <c r="G4" s="19" t="s">
        <v>63</v>
      </c>
      <c r="H4" s="20" t="s">
        <v>25</v>
      </c>
      <c r="I4" s="21"/>
      <c r="J4" s="22"/>
      <c r="K4" s="23">
        <f>Twirling_Duet_DuetDance_Children[[#This Row],[Judge 1
Tamara Beljak]]-J4</f>
        <v>0</v>
      </c>
      <c r="L4" s="24">
        <f>COUNTIFS(Twirling_Duet_DuetDance_Children[Age
Division],Twirling_Duet_DuetDance_Children[[#This Row],[Age
Division]],Twirling_Duet_DuetDance_Children[Category],Twirling_Duet_DuetDance_Children[[#This Row],[Category]],Twirling_Duet_DuetDance_Children[J1 TOTAL],"&gt;"&amp;Twirling_Duet_DuetDance_Children[[#This Row],[J1 TOTAL]])+1</f>
        <v>1</v>
      </c>
      <c r="M4" s="21">
        <v>65.2</v>
      </c>
      <c r="N4" s="22">
        <v>0</v>
      </c>
      <c r="O4" s="23">
        <f>Twirling_Duet_DuetDance_Children[[#This Row],[Judge 2
Tihomir Bendelja]]-Twirling_Duet_DuetDance_Children[[#This Row],[J2 (-)]]</f>
        <v>65.2</v>
      </c>
      <c r="P4" s="24">
        <f>COUNTIFS(Twirling_Duet_DuetDance_Children[Age
Division],Twirling_Duet_DuetDance_Children[[#This Row],[Age
Division]],Twirling_Duet_DuetDance_Children[Category],Twirling_Duet_DuetDance_Children[[#This Row],[Category]],Twirling_Duet_DuetDance_Children[J2 TOTAL],"&gt;"&amp;Twirling_Duet_DuetDance_Children[[#This Row],[J2 TOTAL]])+1</f>
        <v>5</v>
      </c>
      <c r="Q4" s="21">
        <v>65.2</v>
      </c>
      <c r="R4" s="22">
        <v>0</v>
      </c>
      <c r="S4" s="23">
        <f>Twirling_Duet_DuetDance_Children[[#This Row],[Judge 3
Tea Softić]]-R4</f>
        <v>65.2</v>
      </c>
      <c r="T4" s="24">
        <f>COUNTIFS(Twirling_Duet_DuetDance_Children[Age
Division],Twirling_Duet_DuetDance_Children[[#This Row],[Age
Division]],Twirling_Duet_DuetDance_Children[Category],Twirling_Duet_DuetDance_Children[[#This Row],[Category]],Twirling_Duet_DuetDance_Children[J3 TOTAL],"&gt;"&amp;Twirling_Duet_DuetDance_Children[[#This Row],[J3 TOTAL]])+1</f>
        <v>4</v>
      </c>
      <c r="U4" s="21"/>
      <c r="V4" s="22"/>
      <c r="W4" s="23">
        <f>Twirling_Duet_DuetDance_Children[[#This Row],[Judge 4
Bernard Barač]]-V4</f>
        <v>0</v>
      </c>
      <c r="X4" s="24">
        <f>COUNTIFS(Twirling_Duet_DuetDance_Children[Age
Division],Twirling_Duet_DuetDance_Children[[#This Row],[Age
Division]],Twirling_Duet_DuetDance_Children[Category],Twirling_Duet_DuetDance_Children[[#This Row],[Category]],Twirling_Duet_DuetDance_Children[J4 TOTAL],"&gt;"&amp;Twirling_Duet_DuetDance_Children[[#This Row],[J4 TOTAL]])+1</f>
        <v>1</v>
      </c>
      <c r="Y4" s="21">
        <v>59.9</v>
      </c>
      <c r="Z4" s="22">
        <v>0</v>
      </c>
      <c r="AA4" s="23">
        <f>Twirling_Duet_DuetDance_Children[[#This Row],[Judge 5
Barbara Novina]]-Z4</f>
        <v>59.9</v>
      </c>
      <c r="AB4" s="24">
        <f>COUNTIFS(Twirling_Duet_DuetDance_Children[Age
Division],Twirling_Duet_DuetDance_Children[[#This Row],[Age
Division]],Twirling_Duet_DuetDance_Children[Category],Twirling_Duet_DuetDance_Children[[#This Row],[Category]],Twirling_Duet_DuetDance_Children[J5 TOTAL],"&gt;"&amp;Twirling_Duet_DuetDance_Children[[#This Row],[J5 TOTAL]])+1</f>
        <v>2</v>
      </c>
      <c r="AC4" s="25">
        <f>SUM(Twirling_Duet_DuetDance_Children[[#This Row],[J1 TOTAL]]+Twirling_Duet_DuetDance_Children[[#This Row],[J2 TOTAL]]+Twirling_Duet_DuetDance_Children[[#This Row],[J3 TOTAL]]+Twirling_Duet_DuetDance_Children[[#This Row],[J4 TOTAL]])+Twirling_Duet_DuetDance_Children[[#This Row],[J5 TOTAL]]</f>
        <v>190.3</v>
      </c>
      <c r="AD4" s="25"/>
      <c r="AE4" s="25"/>
      <c r="AF4" s="25">
        <f>SUM(Twirling_Duet_DuetDance_Children[[#This Row],[Total]]-Twirling_Duet_DuetDance_Children[[#This Row],[Low]]-Twirling_Duet_DuetDance_Children[[#This Row],[High]])</f>
        <v>190.3</v>
      </c>
      <c r="AG4" s="25">
        <f t="shared" si="0"/>
        <v>63.433333333333337</v>
      </c>
      <c r="AH4" s="26">
        <f>Twirling_Duet_DuetDance_Children[[#This Row],[Final Total]]</f>
        <v>190.3</v>
      </c>
      <c r="AI4" s="27">
        <f>COUNTIFS(Twirling_Duet_DuetDance_Children[Age
Division],Twirling_Duet_DuetDance_Children[[#This Row],[Age
Division]],Twirling_Duet_DuetDance_Children[Category],Twirling_Duet_DuetDance_Children[[#This Row],[Category]],Twirling_Duet_DuetDance_Children[FINAL SCORE],"&gt;"&amp;Twirling_Duet_DuetDance_Children[[#This Row],[FINAL SCORE]])+1</f>
        <v>3</v>
      </c>
      <c r="AJ4" s="18" t="s">
        <v>190</v>
      </c>
      <c r="AL4" s="68"/>
    </row>
    <row r="5" spans="1:55" ht="15.6" x14ac:dyDescent="0.3">
      <c r="A5" s="18">
        <v>134</v>
      </c>
      <c r="B5" s="19">
        <v>2</v>
      </c>
      <c r="C5" s="19" t="s">
        <v>116</v>
      </c>
      <c r="D5" s="19" t="s">
        <v>30</v>
      </c>
      <c r="E5" s="19" t="s">
        <v>124</v>
      </c>
      <c r="F5" s="31" t="s">
        <v>174</v>
      </c>
      <c r="G5" s="19" t="s">
        <v>31</v>
      </c>
      <c r="H5" s="20" t="s">
        <v>25</v>
      </c>
      <c r="I5" s="21"/>
      <c r="J5" s="22"/>
      <c r="K5" s="23">
        <f>Twirling_Duet_DuetDance_Children[[#This Row],[Judge 1
Tamara Beljak]]-J5</f>
        <v>0</v>
      </c>
      <c r="L5" s="24">
        <f>COUNTIFS(Twirling_Duet_DuetDance_Children[Age
Division],Twirling_Duet_DuetDance_Children[[#This Row],[Age
Division]],Twirling_Duet_DuetDance_Children[Category],Twirling_Duet_DuetDance_Children[[#This Row],[Category]],Twirling_Duet_DuetDance_Children[J1 TOTAL],"&gt;"&amp;Twirling_Duet_DuetDance_Children[[#This Row],[J1 TOTAL]])+1</f>
        <v>1</v>
      </c>
      <c r="M5" s="21">
        <v>67</v>
      </c>
      <c r="N5" s="22">
        <v>1.5</v>
      </c>
      <c r="O5" s="23">
        <f>Twirling_Duet_DuetDance_Children[[#This Row],[Judge 2
Tihomir Bendelja]]-Twirling_Duet_DuetDance_Children[[#This Row],[J2 (-)]]</f>
        <v>65.5</v>
      </c>
      <c r="P5" s="24">
        <f>COUNTIFS(Twirling_Duet_DuetDance_Children[Age
Division],Twirling_Duet_DuetDance_Children[[#This Row],[Age
Division]],Twirling_Duet_DuetDance_Children[Category],Twirling_Duet_DuetDance_Children[[#This Row],[Category]],Twirling_Duet_DuetDance_Children[J2 TOTAL],"&gt;"&amp;Twirling_Duet_DuetDance_Children[[#This Row],[J2 TOTAL]])+1</f>
        <v>3</v>
      </c>
      <c r="Q5" s="21">
        <v>67.2</v>
      </c>
      <c r="R5" s="22">
        <v>1.5</v>
      </c>
      <c r="S5" s="23">
        <f>Twirling_Duet_DuetDance_Children[[#This Row],[Judge 3
Tea Softić]]-R5</f>
        <v>65.7</v>
      </c>
      <c r="T5" s="24">
        <f>COUNTIFS(Twirling_Duet_DuetDance_Children[Age
Division],Twirling_Duet_DuetDance_Children[[#This Row],[Age
Division]],Twirling_Duet_DuetDance_Children[Category],Twirling_Duet_DuetDance_Children[[#This Row],[Category]],Twirling_Duet_DuetDance_Children[J3 TOTAL],"&gt;"&amp;Twirling_Duet_DuetDance_Children[[#This Row],[J3 TOTAL]])+1</f>
        <v>3</v>
      </c>
      <c r="U5" s="21"/>
      <c r="V5" s="22"/>
      <c r="W5" s="23">
        <f>Twirling_Duet_DuetDance_Children[[#This Row],[Judge 4
Bernard Barač]]-V5</f>
        <v>0</v>
      </c>
      <c r="X5" s="24">
        <f>COUNTIFS(Twirling_Duet_DuetDance_Children[Age
Division],Twirling_Duet_DuetDance_Children[[#This Row],[Age
Division]],Twirling_Duet_DuetDance_Children[Category],Twirling_Duet_DuetDance_Children[[#This Row],[Category]],Twirling_Duet_DuetDance_Children[J4 TOTAL],"&gt;"&amp;Twirling_Duet_DuetDance_Children[[#This Row],[J4 TOTAL]])+1</f>
        <v>1</v>
      </c>
      <c r="Y5" s="21">
        <v>58.4</v>
      </c>
      <c r="Z5" s="22">
        <v>1.5</v>
      </c>
      <c r="AA5" s="23">
        <f>Twirling_Duet_DuetDance_Children[[#This Row],[Judge 5
Barbara Novina]]-Z5</f>
        <v>56.9</v>
      </c>
      <c r="AB5" s="24">
        <f>COUNTIFS(Twirling_Duet_DuetDance_Children[Age
Division],Twirling_Duet_DuetDance_Children[[#This Row],[Age
Division]],Twirling_Duet_DuetDance_Children[Category],Twirling_Duet_DuetDance_Children[[#This Row],[Category]],Twirling_Duet_DuetDance_Children[J5 TOTAL],"&gt;"&amp;Twirling_Duet_DuetDance_Children[[#This Row],[J5 TOTAL]])+1</f>
        <v>4</v>
      </c>
      <c r="AC5" s="25">
        <f>SUM(Twirling_Duet_DuetDance_Children[[#This Row],[J1 TOTAL]]+Twirling_Duet_DuetDance_Children[[#This Row],[J2 TOTAL]]+Twirling_Duet_DuetDance_Children[[#This Row],[J3 TOTAL]]+Twirling_Duet_DuetDance_Children[[#This Row],[J4 TOTAL]])+Twirling_Duet_DuetDance_Children[[#This Row],[J5 TOTAL]]</f>
        <v>188.1</v>
      </c>
      <c r="AD5" s="25"/>
      <c r="AE5" s="25"/>
      <c r="AF5" s="25">
        <f>SUM(Twirling_Duet_DuetDance_Children[[#This Row],[Total]]-Twirling_Duet_DuetDance_Children[[#This Row],[Low]]-Twirling_Duet_DuetDance_Children[[#This Row],[High]])</f>
        <v>188.1</v>
      </c>
      <c r="AG5" s="25">
        <f t="shared" si="0"/>
        <v>64.2</v>
      </c>
      <c r="AH5" s="26">
        <f>Twirling_Duet_DuetDance_Children[[#This Row],[Final Total]]</f>
        <v>188.1</v>
      </c>
      <c r="AI5" s="28">
        <f>COUNTIFS(Twirling_Duet_DuetDance_Children[Age
Division],Twirling_Duet_DuetDance_Children[[#This Row],[Age
Division]],Twirling_Duet_DuetDance_Children[Category],Twirling_Duet_DuetDance_Children[[#This Row],[Category]],Twirling_Duet_DuetDance_Children[FINAL SCORE],"&gt;"&amp;Twirling_Duet_DuetDance_Children[[#This Row],[FINAL SCORE]])+1</f>
        <v>4</v>
      </c>
      <c r="AJ5" s="18" t="s">
        <v>190</v>
      </c>
      <c r="AL5" s="68"/>
    </row>
    <row r="6" spans="1:55" ht="15.6" x14ac:dyDescent="0.3">
      <c r="A6" s="18">
        <v>140</v>
      </c>
      <c r="B6" s="19">
        <v>2</v>
      </c>
      <c r="C6" s="19" t="s">
        <v>116</v>
      </c>
      <c r="D6" s="19" t="s">
        <v>30</v>
      </c>
      <c r="E6" s="19" t="s">
        <v>124</v>
      </c>
      <c r="F6" s="31" t="s">
        <v>177</v>
      </c>
      <c r="G6" s="19" t="s">
        <v>63</v>
      </c>
      <c r="H6" s="20" t="s">
        <v>25</v>
      </c>
      <c r="I6" s="21"/>
      <c r="J6" s="22"/>
      <c r="K6" s="23">
        <f>Twirling_Duet_DuetDance_Children[[#This Row],[Judge 1
Tamara Beljak]]-J6</f>
        <v>0</v>
      </c>
      <c r="L6" s="24">
        <f>COUNTIFS(Twirling_Duet_DuetDance_Children[Age
Division],Twirling_Duet_DuetDance_Children[[#This Row],[Age
Division]],Twirling_Duet_DuetDance_Children[Category],Twirling_Duet_DuetDance_Children[[#This Row],[Category]],Twirling_Duet_DuetDance_Children[J1 TOTAL],"&gt;"&amp;Twirling_Duet_DuetDance_Children[[#This Row],[J1 TOTAL]])+1</f>
        <v>1</v>
      </c>
      <c r="M6" s="21">
        <v>66.3</v>
      </c>
      <c r="N6" s="22">
        <v>1</v>
      </c>
      <c r="O6" s="23">
        <f>Twirling_Duet_DuetDance_Children[[#This Row],[Judge 2
Tihomir Bendelja]]-Twirling_Duet_DuetDance_Children[[#This Row],[J2 (-)]]</f>
        <v>65.3</v>
      </c>
      <c r="P6" s="24">
        <f>COUNTIFS(Twirling_Duet_DuetDance_Children[Age
Division],Twirling_Duet_DuetDance_Children[[#This Row],[Age
Division]],Twirling_Duet_DuetDance_Children[Category],Twirling_Duet_DuetDance_Children[[#This Row],[Category]],Twirling_Duet_DuetDance_Children[J2 TOTAL],"&gt;"&amp;Twirling_Duet_DuetDance_Children[[#This Row],[J2 TOTAL]])+1</f>
        <v>4</v>
      </c>
      <c r="Q6" s="21">
        <v>65.599999999999994</v>
      </c>
      <c r="R6" s="22">
        <v>1</v>
      </c>
      <c r="S6" s="23">
        <f>Twirling_Duet_DuetDance_Children[[#This Row],[Judge 3
Tea Softić]]-R6</f>
        <v>64.599999999999994</v>
      </c>
      <c r="T6" s="24">
        <f>COUNTIFS(Twirling_Duet_DuetDance_Children[Age
Division],Twirling_Duet_DuetDance_Children[[#This Row],[Age
Division]],Twirling_Duet_DuetDance_Children[Category],Twirling_Duet_DuetDance_Children[[#This Row],[Category]],Twirling_Duet_DuetDance_Children[J3 TOTAL],"&gt;"&amp;Twirling_Duet_DuetDance_Children[[#This Row],[J3 TOTAL]])+1</f>
        <v>5</v>
      </c>
      <c r="U6" s="21"/>
      <c r="V6" s="22"/>
      <c r="W6" s="23">
        <f>Twirling_Duet_DuetDance_Children[[#This Row],[Judge 4
Bernard Barač]]-V6</f>
        <v>0</v>
      </c>
      <c r="X6" s="24">
        <f>COUNTIFS(Twirling_Duet_DuetDance_Children[Age
Division],Twirling_Duet_DuetDance_Children[[#This Row],[Age
Division]],Twirling_Duet_DuetDance_Children[Category],Twirling_Duet_DuetDance_Children[[#This Row],[Category]],Twirling_Duet_DuetDance_Children[J4 TOTAL],"&gt;"&amp;Twirling_Duet_DuetDance_Children[[#This Row],[J4 TOTAL]])+1</f>
        <v>1</v>
      </c>
      <c r="Y6" s="21">
        <v>57.7</v>
      </c>
      <c r="Z6" s="22">
        <v>1</v>
      </c>
      <c r="AA6" s="23">
        <f>Twirling_Duet_DuetDance_Children[[#This Row],[Judge 5
Barbara Novina]]-Z6</f>
        <v>56.7</v>
      </c>
      <c r="AB6" s="24">
        <f>COUNTIFS(Twirling_Duet_DuetDance_Children[Age
Division],Twirling_Duet_DuetDance_Children[[#This Row],[Age
Division]],Twirling_Duet_DuetDance_Children[Category],Twirling_Duet_DuetDance_Children[[#This Row],[Category]],Twirling_Duet_DuetDance_Children[J5 TOTAL],"&gt;"&amp;Twirling_Duet_DuetDance_Children[[#This Row],[J5 TOTAL]])+1</f>
        <v>5</v>
      </c>
      <c r="AC6" s="25">
        <f>SUM(Twirling_Duet_DuetDance_Children[[#This Row],[J1 TOTAL]]+Twirling_Duet_DuetDance_Children[[#This Row],[J2 TOTAL]]+Twirling_Duet_DuetDance_Children[[#This Row],[J3 TOTAL]]+Twirling_Duet_DuetDance_Children[[#This Row],[J4 TOTAL]])+Twirling_Duet_DuetDance_Children[[#This Row],[J5 TOTAL]]</f>
        <v>186.59999999999997</v>
      </c>
      <c r="AD6" s="25"/>
      <c r="AE6" s="25"/>
      <c r="AF6" s="25">
        <f>SUM(Twirling_Duet_DuetDance_Children[[#This Row],[Total]]-Twirling_Duet_DuetDance_Children[[#This Row],[Low]]-Twirling_Duet_DuetDance_Children[[#This Row],[High]])</f>
        <v>186.59999999999997</v>
      </c>
      <c r="AG6" s="25">
        <f t="shared" si="0"/>
        <v>63.199999999999989</v>
      </c>
      <c r="AH6" s="26">
        <f>Twirling_Duet_DuetDance_Children[[#This Row],[Final Total]]</f>
        <v>186.59999999999997</v>
      </c>
      <c r="AI6" s="28">
        <f>COUNTIFS(Twirling_Duet_DuetDance_Children[Age
Division],Twirling_Duet_DuetDance_Children[[#This Row],[Age
Division]],Twirling_Duet_DuetDance_Children[Category],Twirling_Duet_DuetDance_Children[[#This Row],[Category]],Twirling_Duet_DuetDance_Children[FINAL SCORE],"&gt;"&amp;Twirling_Duet_DuetDance_Children[[#This Row],[FINAL SCORE]])+1</f>
        <v>5</v>
      </c>
      <c r="AJ6" s="18" t="s">
        <v>190</v>
      </c>
      <c r="AL6" s="68"/>
    </row>
    <row r="7" spans="1:55" ht="15.6" x14ac:dyDescent="0.3">
      <c r="A7" s="18">
        <v>142</v>
      </c>
      <c r="B7" s="19">
        <v>2</v>
      </c>
      <c r="C7" s="19" t="s">
        <v>116</v>
      </c>
      <c r="D7" s="19" t="s">
        <v>30</v>
      </c>
      <c r="E7" s="19" t="s">
        <v>124</v>
      </c>
      <c r="F7" s="19" t="s">
        <v>178</v>
      </c>
      <c r="G7" s="19" t="s">
        <v>45</v>
      </c>
      <c r="H7" s="20" t="s">
        <v>25</v>
      </c>
      <c r="I7" s="21"/>
      <c r="J7" s="22"/>
      <c r="K7" s="23">
        <f>Twirling_Duet_DuetDance_Children[[#This Row],[Judge 1
Tamara Beljak]]-J7</f>
        <v>0</v>
      </c>
      <c r="L7" s="24">
        <f>COUNTIFS(Twirling_Duet_DuetDance_Children[Age
Division],Twirling_Duet_DuetDance_Children[[#This Row],[Age
Division]],Twirling_Duet_DuetDance_Children[Category],Twirling_Duet_DuetDance_Children[[#This Row],[Category]],Twirling_Duet_DuetDance_Children[J1 TOTAL],"&gt;"&amp;Twirling_Duet_DuetDance_Children[[#This Row],[J1 TOTAL]])+1</f>
        <v>1</v>
      </c>
      <c r="M7" s="21">
        <v>63.4</v>
      </c>
      <c r="N7" s="22">
        <v>1</v>
      </c>
      <c r="O7" s="23">
        <f>Twirling_Duet_DuetDance_Children[[#This Row],[Judge 2
Tihomir Bendelja]]-Twirling_Duet_DuetDance_Children[[#This Row],[J2 (-)]]</f>
        <v>62.4</v>
      </c>
      <c r="P7" s="24">
        <f>COUNTIFS(Twirling_Duet_DuetDance_Children[Age
Division],Twirling_Duet_DuetDance_Children[[#This Row],[Age
Division]],Twirling_Duet_DuetDance_Children[Category],Twirling_Duet_DuetDance_Children[[#This Row],[Category]],Twirling_Duet_DuetDance_Children[J2 TOTAL],"&gt;"&amp;Twirling_Duet_DuetDance_Children[[#This Row],[J2 TOTAL]])+1</f>
        <v>6</v>
      </c>
      <c r="Q7" s="21">
        <v>64.8</v>
      </c>
      <c r="R7" s="22">
        <v>1</v>
      </c>
      <c r="S7" s="23">
        <f>Twirling_Duet_DuetDance_Children[[#This Row],[Judge 3
Tea Softić]]-R7</f>
        <v>63.8</v>
      </c>
      <c r="T7" s="24">
        <f>COUNTIFS(Twirling_Duet_DuetDance_Children[Age
Division],Twirling_Duet_DuetDance_Children[[#This Row],[Age
Division]],Twirling_Duet_DuetDance_Children[Category],Twirling_Duet_DuetDance_Children[[#This Row],[Category]],Twirling_Duet_DuetDance_Children[J3 TOTAL],"&gt;"&amp;Twirling_Duet_DuetDance_Children[[#This Row],[J3 TOTAL]])+1</f>
        <v>6</v>
      </c>
      <c r="U7" s="21"/>
      <c r="V7" s="22"/>
      <c r="W7" s="23">
        <f>Twirling_Duet_DuetDance_Children[[#This Row],[Judge 4
Bernard Barač]]-V7</f>
        <v>0</v>
      </c>
      <c r="X7" s="24">
        <f>COUNTIFS(Twirling_Duet_DuetDance_Children[Age
Division],Twirling_Duet_DuetDance_Children[[#This Row],[Age
Division]],Twirling_Duet_DuetDance_Children[Category],Twirling_Duet_DuetDance_Children[[#This Row],[Category]],Twirling_Duet_DuetDance_Children[J4 TOTAL],"&gt;"&amp;Twirling_Duet_DuetDance_Children[[#This Row],[J4 TOTAL]])+1</f>
        <v>1</v>
      </c>
      <c r="Y7" s="21">
        <v>57.6</v>
      </c>
      <c r="Z7" s="22">
        <v>1</v>
      </c>
      <c r="AA7" s="23">
        <f>Twirling_Duet_DuetDance_Children[[#This Row],[Judge 5
Barbara Novina]]-Z7</f>
        <v>56.6</v>
      </c>
      <c r="AB7" s="24">
        <f>COUNTIFS(Twirling_Duet_DuetDance_Children[Age
Division],Twirling_Duet_DuetDance_Children[[#This Row],[Age
Division]],Twirling_Duet_DuetDance_Children[Category],Twirling_Duet_DuetDance_Children[[#This Row],[Category]],Twirling_Duet_DuetDance_Children[J5 TOTAL],"&gt;"&amp;Twirling_Duet_DuetDance_Children[[#This Row],[J5 TOTAL]])+1</f>
        <v>6</v>
      </c>
      <c r="AC7" s="25">
        <f>SUM(Twirling_Duet_DuetDance_Children[[#This Row],[J1 TOTAL]]+Twirling_Duet_DuetDance_Children[[#This Row],[J2 TOTAL]]+Twirling_Duet_DuetDance_Children[[#This Row],[J3 TOTAL]]+Twirling_Duet_DuetDance_Children[[#This Row],[J4 TOTAL]])+Twirling_Duet_DuetDance_Children[[#This Row],[J5 TOTAL]]</f>
        <v>182.79999999999998</v>
      </c>
      <c r="AD7" s="25"/>
      <c r="AE7" s="25"/>
      <c r="AF7" s="25">
        <f>SUM(Twirling_Duet_DuetDance_Children[[#This Row],[Total]]-Twirling_Duet_DuetDance_Children[[#This Row],[Low]]-Twirling_Duet_DuetDance_Children[[#This Row],[High]])</f>
        <v>182.79999999999998</v>
      </c>
      <c r="AG7" s="25">
        <f t="shared" si="0"/>
        <v>61.93333333333333</v>
      </c>
      <c r="AH7" s="26">
        <f>Twirling_Duet_DuetDance_Children[[#This Row],[Final Total]]</f>
        <v>182.79999999999998</v>
      </c>
      <c r="AI7" s="28">
        <f>COUNTIFS(Twirling_Duet_DuetDance_Children[Age
Division],Twirling_Duet_DuetDance_Children[[#This Row],[Age
Division]],Twirling_Duet_DuetDance_Children[Category],Twirling_Duet_DuetDance_Children[[#This Row],[Category]],Twirling_Duet_DuetDance_Children[FINAL SCORE],"&gt;"&amp;Twirling_Duet_DuetDance_Children[[#This Row],[FINAL SCORE]])+1</f>
        <v>6</v>
      </c>
      <c r="AJ7" s="18" t="s">
        <v>190</v>
      </c>
      <c r="AL7" s="68"/>
    </row>
  </sheetData>
  <sheetProtection algorithmName="SHA-512" hashValue="wXxzs0PZSFLcFBewYmU5k6EioilLzpiKwfshIwdV1eubX9yRqkKBmvjzdUNIyWbVbDcv4zF1njsNQ4fS12kUqQ==" saltValue="MvGcJnzodW+tUSQzvarfR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DE34-6DE6-4B86-AF60-089383A58728}">
  <sheetPr codeName="Sheet25"/>
  <dimension ref="A1:BC12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7.33203125" style="30" customWidth="1"/>
    <col min="5" max="5" width="9.5546875" style="30" bestFit="1" customWidth="1"/>
    <col min="6" max="6" width="28.109375" style="20" customWidth="1"/>
    <col min="7" max="7" width="42.5546875" style="20" customWidth="1"/>
    <col min="8" max="8" width="8.6640625" style="20" customWidth="1"/>
    <col min="9" max="12" width="9.109375" style="20" customWidth="1"/>
    <col min="13" max="20" width="9.109375" style="20" hidden="1" customWidth="1"/>
    <col min="21" max="24" width="9.109375" style="20" customWidth="1"/>
    <col min="25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149</v>
      </c>
      <c r="B2" s="19">
        <v>1</v>
      </c>
      <c r="C2" s="19" t="s">
        <v>116</v>
      </c>
      <c r="D2" s="19" t="s">
        <v>23</v>
      </c>
      <c r="E2" s="19" t="s">
        <v>141</v>
      </c>
      <c r="F2" s="31" t="s">
        <v>188</v>
      </c>
      <c r="G2" s="19" t="s">
        <v>86</v>
      </c>
      <c r="H2" s="20" t="s">
        <v>25</v>
      </c>
      <c r="I2" s="21">
        <v>74.7</v>
      </c>
      <c r="J2" s="22">
        <v>0.5</v>
      </c>
      <c r="K2" s="23">
        <f>Twirling_Duet_DuetDance_Cadet_Lower_Level[[#This Row],[Judge 1
Tamara Beljak]]-J2</f>
        <v>74.2</v>
      </c>
      <c r="L2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f>
        <v>1</v>
      </c>
      <c r="M2" s="21"/>
      <c r="N2" s="22"/>
      <c r="O2" s="23">
        <f>Twirling_Duet_DuetDance_Cadet_Lower_Level[[#This Row],[Judge 2
Tihomir Bendelja]]-Twirling_Duet_DuetDance_Cadet_Lower_Level[[#This Row],[J2 (-)]]</f>
        <v>0</v>
      </c>
      <c r="P2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f>
        <v>1</v>
      </c>
      <c r="Q2" s="21"/>
      <c r="R2" s="22"/>
      <c r="S2" s="23">
        <f>Twirling_Duet_DuetDance_Cadet_Lower_Level[[#This Row],[Judge 3
Tea Softić]]-R2</f>
        <v>0</v>
      </c>
      <c r="T2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f>
        <v>1</v>
      </c>
      <c r="U2" s="21">
        <v>75.400000000000006</v>
      </c>
      <c r="V2" s="22">
        <v>0.5</v>
      </c>
      <c r="W2" s="23">
        <f>Twirling_Duet_DuetDance_Cadet_Lower_Level[[#This Row],[Judge 4
Bernard Barač]]-V2</f>
        <v>74.900000000000006</v>
      </c>
      <c r="X2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f>
        <v>1</v>
      </c>
      <c r="Y2" s="21"/>
      <c r="Z2" s="22"/>
      <c r="AA2" s="23">
        <f>Twirling_Duet_DuetDance_Cadet_Lower_Level[[#This Row],[Judge 5
Barbara Novina]]-Y2</f>
        <v>0</v>
      </c>
      <c r="AB2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f>
        <v>1</v>
      </c>
      <c r="AC2" s="25">
        <f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f>
        <v>149.10000000000002</v>
      </c>
      <c r="AD2" s="25"/>
      <c r="AE2" s="25"/>
      <c r="AF2" s="25">
        <f>SUM(Twirling_Duet_DuetDance_Cadet_Lower_Level[[#This Row],[Total]]-Twirling_Duet_DuetDance_Cadet_Lower_Level[[#This Row],[Low]]-Twirling_Duet_DuetDance_Cadet_Lower_Level[[#This Row],[High]])</f>
        <v>149.10000000000002</v>
      </c>
      <c r="AG2" s="25">
        <f t="shared" ref="AG2:AG12" si="0">AVERAGE(I2,M2,Q2,U2,Y2)</f>
        <v>75.050000000000011</v>
      </c>
      <c r="AH2" s="26">
        <f>Twirling_Duet_DuetDance_Cadet_Lower_Level[[#This Row],[Final Total]]</f>
        <v>149.10000000000002</v>
      </c>
      <c r="AI2" s="28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f>
        <v>1</v>
      </c>
      <c r="AJ2" s="18" t="s">
        <v>190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147</v>
      </c>
      <c r="B3" s="19">
        <v>1</v>
      </c>
      <c r="C3" s="19" t="s">
        <v>116</v>
      </c>
      <c r="D3" s="19" t="s">
        <v>23</v>
      </c>
      <c r="E3" s="19" t="s">
        <v>141</v>
      </c>
      <c r="F3" s="31" t="s">
        <v>187</v>
      </c>
      <c r="G3" s="19" t="s">
        <v>49</v>
      </c>
      <c r="H3" s="20" t="s">
        <v>25</v>
      </c>
      <c r="I3" s="21">
        <v>74.7</v>
      </c>
      <c r="J3" s="22">
        <v>1.5</v>
      </c>
      <c r="K3" s="23">
        <f>Twirling_Duet_DuetDance_Cadet_Lower_Level[[#This Row],[Judge 1
Tamara Beljak]]-J3</f>
        <v>73.2</v>
      </c>
      <c r="L3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f>
        <v>2</v>
      </c>
      <c r="M3" s="21"/>
      <c r="N3" s="22"/>
      <c r="O3" s="23">
        <f>Twirling_Duet_DuetDance_Cadet_Lower_Level[[#This Row],[Judge 2
Tihomir Bendelja]]-Twirling_Duet_DuetDance_Cadet_Lower_Level[[#This Row],[J2 (-)]]</f>
        <v>0</v>
      </c>
      <c r="P3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f>
        <v>1</v>
      </c>
      <c r="Q3" s="21"/>
      <c r="R3" s="22"/>
      <c r="S3" s="23">
        <f>Twirling_Duet_DuetDance_Cadet_Lower_Level[[#This Row],[Judge 3
Tea Softić]]-R3</f>
        <v>0</v>
      </c>
      <c r="T3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f>
        <v>1</v>
      </c>
      <c r="U3" s="21">
        <v>75.900000000000006</v>
      </c>
      <c r="V3" s="22">
        <v>1.5</v>
      </c>
      <c r="W3" s="23">
        <f>Twirling_Duet_DuetDance_Cadet_Lower_Level[[#This Row],[Judge 4
Bernard Barač]]-V3</f>
        <v>74.400000000000006</v>
      </c>
      <c r="X3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f>
        <v>2</v>
      </c>
      <c r="Y3" s="21"/>
      <c r="Z3" s="22"/>
      <c r="AA3" s="23">
        <f>Twirling_Duet_DuetDance_Cadet_Lower_Level[[#This Row],[Judge 5
Barbara Novina]]-Y3</f>
        <v>0</v>
      </c>
      <c r="AB3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f>
        <v>1</v>
      </c>
      <c r="AC3" s="25">
        <f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f>
        <v>147.60000000000002</v>
      </c>
      <c r="AD3" s="25"/>
      <c r="AE3" s="25"/>
      <c r="AF3" s="25">
        <f>SUM(Twirling_Duet_DuetDance_Cadet_Lower_Level[[#This Row],[Total]]-Twirling_Duet_DuetDance_Cadet_Lower_Level[[#This Row],[Low]]-Twirling_Duet_DuetDance_Cadet_Lower_Level[[#This Row],[High]])</f>
        <v>147.60000000000002</v>
      </c>
      <c r="AG3" s="25">
        <f t="shared" si="0"/>
        <v>75.300000000000011</v>
      </c>
      <c r="AH3" s="26">
        <f>Twirling_Duet_DuetDance_Cadet_Lower_Level[[#This Row],[Final Total]]</f>
        <v>147.60000000000002</v>
      </c>
      <c r="AI3" s="28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f>
        <v>2</v>
      </c>
      <c r="AJ3" s="18" t="s">
        <v>190</v>
      </c>
    </row>
    <row r="4" spans="1:55" ht="15.6" x14ac:dyDescent="0.3">
      <c r="A4" s="18">
        <v>151</v>
      </c>
      <c r="B4" s="19">
        <v>1</v>
      </c>
      <c r="C4" s="19" t="s">
        <v>116</v>
      </c>
      <c r="D4" s="19" t="s">
        <v>23</v>
      </c>
      <c r="E4" s="19" t="s">
        <v>141</v>
      </c>
      <c r="F4" s="31" t="s">
        <v>189</v>
      </c>
      <c r="G4" s="19" t="s">
        <v>63</v>
      </c>
      <c r="H4" s="20" t="s">
        <v>25</v>
      </c>
      <c r="I4" s="21">
        <v>73</v>
      </c>
      <c r="J4" s="22">
        <v>0</v>
      </c>
      <c r="K4" s="23">
        <f>Twirling_Duet_DuetDance_Cadet_Lower_Level[[#This Row],[Judge 1
Tamara Beljak]]-J4</f>
        <v>73</v>
      </c>
      <c r="L4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f>
        <v>3</v>
      </c>
      <c r="M4" s="21"/>
      <c r="N4" s="22"/>
      <c r="O4" s="23">
        <f>Twirling_Duet_DuetDance_Cadet_Lower_Level[[#This Row],[Judge 2
Tihomir Bendelja]]-Twirling_Duet_DuetDance_Cadet_Lower_Level[[#This Row],[J2 (-)]]</f>
        <v>0</v>
      </c>
      <c r="P4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f>
        <v>1</v>
      </c>
      <c r="Q4" s="21"/>
      <c r="R4" s="22"/>
      <c r="S4" s="23">
        <f>Twirling_Duet_DuetDance_Cadet_Lower_Level[[#This Row],[Judge 3
Tea Softić]]-R4</f>
        <v>0</v>
      </c>
      <c r="T4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f>
        <v>1</v>
      </c>
      <c r="U4" s="21">
        <v>74.3</v>
      </c>
      <c r="V4" s="22">
        <v>0</v>
      </c>
      <c r="W4" s="23">
        <f>Twirling_Duet_DuetDance_Cadet_Lower_Level[[#This Row],[Judge 4
Bernard Barač]]-V4</f>
        <v>74.3</v>
      </c>
      <c r="X4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f>
        <v>3</v>
      </c>
      <c r="Y4" s="21"/>
      <c r="Z4" s="22"/>
      <c r="AA4" s="23">
        <f>Twirling_Duet_DuetDance_Cadet_Lower_Level[[#This Row],[Judge 5
Barbara Novina]]-Y4</f>
        <v>0</v>
      </c>
      <c r="AB4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f>
        <v>1</v>
      </c>
      <c r="AC4" s="25">
        <f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f>
        <v>147.30000000000001</v>
      </c>
      <c r="AD4" s="25"/>
      <c r="AE4" s="25"/>
      <c r="AF4" s="25">
        <f>SUM(Twirling_Duet_DuetDance_Cadet_Lower_Level[[#This Row],[Total]]-Twirling_Duet_DuetDance_Cadet_Lower_Level[[#This Row],[Low]]-Twirling_Duet_DuetDance_Cadet_Lower_Level[[#This Row],[High]])</f>
        <v>147.30000000000001</v>
      </c>
      <c r="AG4" s="25">
        <f t="shared" si="0"/>
        <v>73.650000000000006</v>
      </c>
      <c r="AH4" s="26">
        <f>Twirling_Duet_DuetDance_Cadet_Lower_Level[[#This Row],[Final Total]]</f>
        <v>147.30000000000001</v>
      </c>
      <c r="AI4" s="28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f>
        <v>3</v>
      </c>
      <c r="AJ4" s="18" t="s">
        <v>190</v>
      </c>
    </row>
    <row r="5" spans="1:55" ht="15.6" x14ac:dyDescent="0.3">
      <c r="A5" s="18">
        <v>145</v>
      </c>
      <c r="B5" s="19">
        <v>1</v>
      </c>
      <c r="C5" s="19" t="s">
        <v>116</v>
      </c>
      <c r="D5" s="19" t="s">
        <v>23</v>
      </c>
      <c r="E5" s="19" t="s">
        <v>141</v>
      </c>
      <c r="F5" s="31" t="s">
        <v>186</v>
      </c>
      <c r="G5" s="19" t="s">
        <v>45</v>
      </c>
      <c r="H5" s="20" t="s">
        <v>25</v>
      </c>
      <c r="I5" s="21">
        <v>72.900000000000006</v>
      </c>
      <c r="J5" s="22">
        <v>0</v>
      </c>
      <c r="K5" s="23">
        <f>Twirling_Duet_DuetDance_Cadet_Lower_Level[[#This Row],[Judge 1
Tamara Beljak]]-J5</f>
        <v>72.900000000000006</v>
      </c>
      <c r="L5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f>
        <v>4</v>
      </c>
      <c r="M5" s="21"/>
      <c r="N5" s="22"/>
      <c r="O5" s="23">
        <f>Twirling_Duet_DuetDance_Cadet_Lower_Level[[#This Row],[Judge 2
Tihomir Bendelja]]-Twirling_Duet_DuetDance_Cadet_Lower_Level[[#This Row],[J2 (-)]]</f>
        <v>0</v>
      </c>
      <c r="P5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f>
        <v>1</v>
      </c>
      <c r="Q5" s="21"/>
      <c r="R5" s="22"/>
      <c r="S5" s="23">
        <f>Twirling_Duet_DuetDance_Cadet_Lower_Level[[#This Row],[Judge 3
Tea Softić]]-R5</f>
        <v>0</v>
      </c>
      <c r="T5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f>
        <v>1</v>
      </c>
      <c r="U5" s="21">
        <v>74.3</v>
      </c>
      <c r="V5" s="22">
        <v>0</v>
      </c>
      <c r="W5" s="23">
        <f>Twirling_Duet_DuetDance_Cadet_Lower_Level[[#This Row],[Judge 4
Bernard Barač]]-V5</f>
        <v>74.3</v>
      </c>
      <c r="X5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f>
        <v>3</v>
      </c>
      <c r="Y5" s="21"/>
      <c r="Z5" s="22"/>
      <c r="AA5" s="23">
        <f>Twirling_Duet_DuetDance_Cadet_Lower_Level[[#This Row],[Judge 5
Barbara Novina]]-Y5</f>
        <v>0</v>
      </c>
      <c r="AB5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f>
        <v>1</v>
      </c>
      <c r="AC5" s="25">
        <f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f>
        <v>147.19999999999999</v>
      </c>
      <c r="AD5" s="25"/>
      <c r="AE5" s="25"/>
      <c r="AF5" s="25">
        <f>SUM(Twirling_Duet_DuetDance_Cadet_Lower_Level[[#This Row],[Total]]-Twirling_Duet_DuetDance_Cadet_Lower_Level[[#This Row],[Low]]-Twirling_Duet_DuetDance_Cadet_Lower_Level[[#This Row],[High]])</f>
        <v>147.19999999999999</v>
      </c>
      <c r="AG5" s="25">
        <f t="shared" si="0"/>
        <v>73.599999999999994</v>
      </c>
      <c r="AH5" s="26">
        <f>Twirling_Duet_DuetDance_Cadet_Lower_Level[[#This Row],[Final Total]]</f>
        <v>147.19999999999999</v>
      </c>
      <c r="AI5" s="28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f>
        <v>4</v>
      </c>
      <c r="AJ5" s="18" t="s">
        <v>190</v>
      </c>
    </row>
    <row r="6" spans="1:55" ht="15.6" x14ac:dyDescent="0.3">
      <c r="A6" s="18">
        <v>133</v>
      </c>
      <c r="B6" s="19">
        <v>1</v>
      </c>
      <c r="C6" s="19" t="s">
        <v>116</v>
      </c>
      <c r="D6" s="19" t="s">
        <v>23</v>
      </c>
      <c r="E6" s="19" t="s">
        <v>141</v>
      </c>
      <c r="F6" s="31" t="s">
        <v>180</v>
      </c>
      <c r="G6" s="19" t="s">
        <v>63</v>
      </c>
      <c r="H6" s="20" t="s">
        <v>25</v>
      </c>
      <c r="I6" s="21">
        <v>70.5</v>
      </c>
      <c r="J6" s="22">
        <v>0.5</v>
      </c>
      <c r="K6" s="23">
        <f>Twirling_Duet_DuetDance_Cadet_Lower_Level[[#This Row],[Judge 1
Tamara Beljak]]-J6</f>
        <v>70</v>
      </c>
      <c r="L6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f>
        <v>5</v>
      </c>
      <c r="M6" s="21"/>
      <c r="N6" s="22"/>
      <c r="O6" s="23">
        <f>Twirling_Duet_DuetDance_Cadet_Lower_Level[[#This Row],[Judge 2
Tihomir Bendelja]]-Twirling_Duet_DuetDance_Cadet_Lower_Level[[#This Row],[J2 (-)]]</f>
        <v>0</v>
      </c>
      <c r="P6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f>
        <v>1</v>
      </c>
      <c r="Q6" s="21"/>
      <c r="R6" s="22"/>
      <c r="S6" s="23">
        <f>Twirling_Duet_DuetDance_Cadet_Lower_Level[[#This Row],[Judge 3
Tea Softić]]-R6</f>
        <v>0</v>
      </c>
      <c r="T6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f>
        <v>1</v>
      </c>
      <c r="U6" s="21">
        <v>69.2</v>
      </c>
      <c r="V6" s="22">
        <v>0.5</v>
      </c>
      <c r="W6" s="23">
        <f>Twirling_Duet_DuetDance_Cadet_Lower_Level[[#This Row],[Judge 4
Bernard Barač]]-V6</f>
        <v>68.7</v>
      </c>
      <c r="X6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f>
        <v>6</v>
      </c>
      <c r="Y6" s="21"/>
      <c r="Z6" s="22"/>
      <c r="AA6" s="23">
        <f>Twirling_Duet_DuetDance_Cadet_Lower_Level[[#This Row],[Judge 5
Barbara Novina]]-Y6</f>
        <v>0</v>
      </c>
      <c r="AB6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f>
        <v>1</v>
      </c>
      <c r="AC6" s="25">
        <f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f>
        <v>138.69999999999999</v>
      </c>
      <c r="AD6" s="25"/>
      <c r="AE6" s="25"/>
      <c r="AF6" s="25">
        <f>SUM(Twirling_Duet_DuetDance_Cadet_Lower_Level[[#This Row],[Total]]-Twirling_Duet_DuetDance_Cadet_Lower_Level[[#This Row],[Low]]-Twirling_Duet_DuetDance_Cadet_Lower_Level[[#This Row],[High]])</f>
        <v>138.69999999999999</v>
      </c>
      <c r="AG6" s="25">
        <f t="shared" si="0"/>
        <v>69.849999999999994</v>
      </c>
      <c r="AH6" s="26">
        <f>Twirling_Duet_DuetDance_Cadet_Lower_Level[[#This Row],[Final Total]]</f>
        <v>138.69999999999999</v>
      </c>
      <c r="AI6" s="28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f>
        <v>5</v>
      </c>
      <c r="AJ6" s="18" t="s">
        <v>190</v>
      </c>
    </row>
    <row r="7" spans="1:55" ht="15.6" x14ac:dyDescent="0.3">
      <c r="A7" s="18">
        <v>141</v>
      </c>
      <c r="B7" s="19">
        <v>1</v>
      </c>
      <c r="C7" s="19" t="s">
        <v>116</v>
      </c>
      <c r="D7" s="19" t="s">
        <v>23</v>
      </c>
      <c r="E7" s="19" t="s">
        <v>141</v>
      </c>
      <c r="F7" s="31" t="s">
        <v>184</v>
      </c>
      <c r="G7" s="19" t="s">
        <v>32</v>
      </c>
      <c r="H7" s="20" t="s">
        <v>25</v>
      </c>
      <c r="I7" s="21">
        <v>70</v>
      </c>
      <c r="J7" s="22">
        <v>2</v>
      </c>
      <c r="K7" s="23">
        <f>Twirling_Duet_DuetDance_Cadet_Lower_Level[[#This Row],[Judge 1
Tamara Beljak]]-J7</f>
        <v>68</v>
      </c>
      <c r="L7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f>
        <v>7</v>
      </c>
      <c r="M7" s="21"/>
      <c r="N7" s="22"/>
      <c r="O7" s="23">
        <f>Twirling_Duet_DuetDance_Cadet_Lower_Level[[#This Row],[Judge 2
Tihomir Bendelja]]-Twirling_Duet_DuetDance_Cadet_Lower_Level[[#This Row],[J2 (-)]]</f>
        <v>0</v>
      </c>
      <c r="P7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f>
        <v>1</v>
      </c>
      <c r="Q7" s="21"/>
      <c r="R7" s="22"/>
      <c r="S7" s="23">
        <f>Twirling_Duet_DuetDance_Cadet_Lower_Level[[#This Row],[Judge 3
Tea Softić]]-R7</f>
        <v>0</v>
      </c>
      <c r="T7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f>
        <v>1</v>
      </c>
      <c r="U7" s="21">
        <v>72.3</v>
      </c>
      <c r="V7" s="22">
        <v>2.5</v>
      </c>
      <c r="W7" s="23">
        <f>Twirling_Duet_DuetDance_Cadet_Lower_Level[[#This Row],[Judge 4
Bernard Barač]]-V7</f>
        <v>69.8</v>
      </c>
      <c r="X7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f>
        <v>5</v>
      </c>
      <c r="Y7" s="21"/>
      <c r="Z7" s="22"/>
      <c r="AA7" s="23">
        <f>Twirling_Duet_DuetDance_Cadet_Lower_Level[[#This Row],[Judge 5
Barbara Novina]]-Y7</f>
        <v>0</v>
      </c>
      <c r="AB7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f>
        <v>1</v>
      </c>
      <c r="AC7" s="25">
        <f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f>
        <v>137.80000000000001</v>
      </c>
      <c r="AD7" s="25"/>
      <c r="AE7" s="25"/>
      <c r="AF7" s="25">
        <f>SUM(Twirling_Duet_DuetDance_Cadet_Lower_Level[[#This Row],[Total]]-Twirling_Duet_DuetDance_Cadet_Lower_Level[[#This Row],[Low]]-Twirling_Duet_DuetDance_Cadet_Lower_Level[[#This Row],[High]])</f>
        <v>137.80000000000001</v>
      </c>
      <c r="AG7" s="25">
        <f t="shared" si="0"/>
        <v>71.150000000000006</v>
      </c>
      <c r="AH7" s="26">
        <f>Twirling_Duet_DuetDance_Cadet_Lower_Level[[#This Row],[Final Total]]</f>
        <v>137.80000000000001</v>
      </c>
      <c r="AI7" s="28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f>
        <v>6</v>
      </c>
      <c r="AJ7" s="18" t="s">
        <v>190</v>
      </c>
    </row>
    <row r="8" spans="1:55" ht="15.6" x14ac:dyDescent="0.3">
      <c r="A8" s="18">
        <v>135</v>
      </c>
      <c r="B8" s="19">
        <v>1</v>
      </c>
      <c r="C8" s="19" t="s">
        <v>116</v>
      </c>
      <c r="D8" s="19" t="s">
        <v>23</v>
      </c>
      <c r="E8" s="19" t="s">
        <v>141</v>
      </c>
      <c r="F8" s="31" t="s">
        <v>181</v>
      </c>
      <c r="G8" s="19" t="s">
        <v>86</v>
      </c>
      <c r="H8" s="20" t="s">
        <v>25</v>
      </c>
      <c r="I8" s="21">
        <v>69.400000000000006</v>
      </c>
      <c r="J8" s="22">
        <v>0.5</v>
      </c>
      <c r="K8" s="23">
        <f>Twirling_Duet_DuetDance_Cadet_Lower_Level[[#This Row],[Judge 1
Tamara Beljak]]-J8</f>
        <v>68.900000000000006</v>
      </c>
      <c r="L8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f>
        <v>6</v>
      </c>
      <c r="M8" s="21"/>
      <c r="N8" s="22"/>
      <c r="O8" s="23">
        <f>Twirling_Duet_DuetDance_Cadet_Lower_Level[[#This Row],[Judge 2
Tihomir Bendelja]]-Twirling_Duet_DuetDance_Cadet_Lower_Level[[#This Row],[J2 (-)]]</f>
        <v>0</v>
      </c>
      <c r="P8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f>
        <v>1</v>
      </c>
      <c r="Q8" s="21"/>
      <c r="R8" s="22"/>
      <c r="S8" s="23">
        <f>Twirling_Duet_DuetDance_Cadet_Lower_Level[[#This Row],[Judge 3
Tea Softić]]-R8</f>
        <v>0</v>
      </c>
      <c r="T8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f>
        <v>1</v>
      </c>
      <c r="U8" s="21">
        <v>68.099999999999994</v>
      </c>
      <c r="V8" s="22">
        <v>0.5</v>
      </c>
      <c r="W8" s="23">
        <f>Twirling_Duet_DuetDance_Cadet_Lower_Level[[#This Row],[Judge 4
Bernard Barač]]-V8</f>
        <v>67.599999999999994</v>
      </c>
      <c r="X8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f>
        <v>8</v>
      </c>
      <c r="Y8" s="21"/>
      <c r="Z8" s="22"/>
      <c r="AA8" s="23">
        <f>Twirling_Duet_DuetDance_Cadet_Lower_Level[[#This Row],[Judge 5
Barbara Novina]]-Y8</f>
        <v>0</v>
      </c>
      <c r="AB8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f>
        <v>1</v>
      </c>
      <c r="AC8" s="25">
        <f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f>
        <v>136.5</v>
      </c>
      <c r="AD8" s="25"/>
      <c r="AE8" s="25"/>
      <c r="AF8" s="25">
        <f>SUM(Twirling_Duet_DuetDance_Cadet_Lower_Level[[#This Row],[Total]]-Twirling_Duet_DuetDance_Cadet_Lower_Level[[#This Row],[Low]]-Twirling_Duet_DuetDance_Cadet_Lower_Level[[#This Row],[High]])</f>
        <v>136.5</v>
      </c>
      <c r="AG8" s="25">
        <f t="shared" si="0"/>
        <v>68.75</v>
      </c>
      <c r="AH8" s="26">
        <f>Twirling_Duet_DuetDance_Cadet_Lower_Level[[#This Row],[Final Total]]</f>
        <v>136.5</v>
      </c>
      <c r="AI8" s="28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f>
        <v>7</v>
      </c>
      <c r="AJ8" s="18" t="s">
        <v>190</v>
      </c>
    </row>
    <row r="9" spans="1:55" ht="15.6" x14ac:dyDescent="0.3">
      <c r="A9" s="18">
        <v>139</v>
      </c>
      <c r="B9" s="19">
        <v>1</v>
      </c>
      <c r="C9" s="19" t="s">
        <v>116</v>
      </c>
      <c r="D9" s="19" t="s">
        <v>23</v>
      </c>
      <c r="E9" s="19" t="s">
        <v>141</v>
      </c>
      <c r="F9" s="31" t="s">
        <v>183</v>
      </c>
      <c r="G9" s="19" t="s">
        <v>31</v>
      </c>
      <c r="H9" s="20" t="s">
        <v>25</v>
      </c>
      <c r="I9" s="21">
        <v>69.099999999999994</v>
      </c>
      <c r="J9" s="22">
        <v>1.5</v>
      </c>
      <c r="K9" s="23">
        <f>Twirling_Duet_DuetDance_Cadet_Lower_Level[[#This Row],[Judge 1
Tamara Beljak]]-J9</f>
        <v>67.599999999999994</v>
      </c>
      <c r="L9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f>
        <v>8</v>
      </c>
      <c r="M9" s="21"/>
      <c r="N9" s="22"/>
      <c r="O9" s="23">
        <f>Twirling_Duet_DuetDance_Cadet_Lower_Level[[#This Row],[Judge 2
Tihomir Bendelja]]-Twirling_Duet_DuetDance_Cadet_Lower_Level[[#This Row],[J2 (-)]]</f>
        <v>0</v>
      </c>
      <c r="P9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f>
        <v>1</v>
      </c>
      <c r="Q9" s="21"/>
      <c r="R9" s="22"/>
      <c r="S9" s="23">
        <f>Twirling_Duet_DuetDance_Cadet_Lower_Level[[#This Row],[Judge 3
Tea Softić]]-R9</f>
        <v>0</v>
      </c>
      <c r="T9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f>
        <v>1</v>
      </c>
      <c r="U9" s="21">
        <v>69.900000000000006</v>
      </c>
      <c r="V9" s="22">
        <v>1.5</v>
      </c>
      <c r="W9" s="23">
        <f>Twirling_Duet_DuetDance_Cadet_Lower_Level[[#This Row],[Judge 4
Bernard Barač]]-V9</f>
        <v>68.400000000000006</v>
      </c>
      <c r="X9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f>
        <v>7</v>
      </c>
      <c r="Y9" s="21"/>
      <c r="Z9" s="22"/>
      <c r="AA9" s="23">
        <f>Twirling_Duet_DuetDance_Cadet_Lower_Level[[#This Row],[Judge 5
Barbara Novina]]-Y9</f>
        <v>0</v>
      </c>
      <c r="AB9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f>
        <v>1</v>
      </c>
      <c r="AC9" s="25">
        <f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f>
        <v>136</v>
      </c>
      <c r="AD9" s="25"/>
      <c r="AE9" s="25"/>
      <c r="AF9" s="25">
        <f>SUM(Twirling_Duet_DuetDance_Cadet_Lower_Level[[#This Row],[Total]]-Twirling_Duet_DuetDance_Cadet_Lower_Level[[#This Row],[Low]]-Twirling_Duet_DuetDance_Cadet_Lower_Level[[#This Row],[High]])</f>
        <v>136</v>
      </c>
      <c r="AG9" s="25">
        <f t="shared" si="0"/>
        <v>69.5</v>
      </c>
      <c r="AH9" s="26">
        <f>Twirling_Duet_DuetDance_Cadet_Lower_Level[[#This Row],[Final Total]]</f>
        <v>136</v>
      </c>
      <c r="AI9" s="28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f>
        <v>8</v>
      </c>
      <c r="AJ9" s="18" t="s">
        <v>190</v>
      </c>
    </row>
    <row r="10" spans="1:55" ht="15.6" x14ac:dyDescent="0.3">
      <c r="A10" s="18">
        <v>143</v>
      </c>
      <c r="B10" s="19">
        <v>1</v>
      </c>
      <c r="C10" s="19" t="s">
        <v>116</v>
      </c>
      <c r="D10" s="19" t="s">
        <v>23</v>
      </c>
      <c r="E10" s="19" t="s">
        <v>141</v>
      </c>
      <c r="F10" s="31" t="s">
        <v>185</v>
      </c>
      <c r="G10" s="19" t="s">
        <v>31</v>
      </c>
      <c r="H10" s="20" t="s">
        <v>25</v>
      </c>
      <c r="I10" s="21">
        <v>68.900000000000006</v>
      </c>
      <c r="J10" s="22">
        <v>2</v>
      </c>
      <c r="K10" s="23">
        <f>Twirling_Duet_DuetDance_Cadet_Lower_Level[[#This Row],[Judge 1
Tamara Beljak]]-J10</f>
        <v>66.900000000000006</v>
      </c>
      <c r="L10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f>
        <v>9</v>
      </c>
      <c r="M10" s="21"/>
      <c r="N10" s="22"/>
      <c r="O10" s="23">
        <f>Twirling_Duet_DuetDance_Cadet_Lower_Level[[#This Row],[Judge 2
Tihomir Bendelja]]-Twirling_Duet_DuetDance_Cadet_Lower_Level[[#This Row],[J2 (-)]]</f>
        <v>0</v>
      </c>
      <c r="P10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f>
        <v>1</v>
      </c>
      <c r="Q10" s="21"/>
      <c r="R10" s="22"/>
      <c r="S10" s="23">
        <f>Twirling_Duet_DuetDance_Cadet_Lower_Level[[#This Row],[Judge 3
Tea Softić]]-R10</f>
        <v>0</v>
      </c>
      <c r="T10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f>
        <v>1</v>
      </c>
      <c r="U10" s="21">
        <v>69.3</v>
      </c>
      <c r="V10" s="22">
        <v>2</v>
      </c>
      <c r="W10" s="23">
        <f>Twirling_Duet_DuetDance_Cadet_Lower_Level[[#This Row],[Judge 4
Bernard Barač]]-V10</f>
        <v>67.3</v>
      </c>
      <c r="X10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f>
        <v>9</v>
      </c>
      <c r="Y10" s="21"/>
      <c r="Z10" s="22"/>
      <c r="AA10" s="23">
        <f>Twirling_Duet_DuetDance_Cadet_Lower_Level[[#This Row],[Judge 5
Barbara Novina]]-Y10</f>
        <v>0</v>
      </c>
      <c r="AB10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f>
        <v>1</v>
      </c>
      <c r="AC10" s="25">
        <f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f>
        <v>134.19999999999999</v>
      </c>
      <c r="AD10" s="25"/>
      <c r="AE10" s="25"/>
      <c r="AF10" s="25">
        <f>SUM(Twirling_Duet_DuetDance_Cadet_Lower_Level[[#This Row],[Total]]-Twirling_Duet_DuetDance_Cadet_Lower_Level[[#This Row],[Low]]-Twirling_Duet_DuetDance_Cadet_Lower_Level[[#This Row],[High]])</f>
        <v>134.19999999999999</v>
      </c>
      <c r="AG10" s="25">
        <f t="shared" si="0"/>
        <v>69.099999999999994</v>
      </c>
      <c r="AH10" s="26">
        <f>Twirling_Duet_DuetDance_Cadet_Lower_Level[[#This Row],[Final Total]]</f>
        <v>134.19999999999999</v>
      </c>
      <c r="AI10" s="28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f>
        <v>9</v>
      </c>
      <c r="AJ10" s="18" t="s">
        <v>190</v>
      </c>
    </row>
    <row r="11" spans="1:55" ht="15.6" x14ac:dyDescent="0.3">
      <c r="A11" s="18">
        <v>137</v>
      </c>
      <c r="B11" s="19">
        <v>1</v>
      </c>
      <c r="C11" s="19" t="s">
        <v>116</v>
      </c>
      <c r="D11" s="19" t="s">
        <v>23</v>
      </c>
      <c r="E11" s="19" t="s">
        <v>141</v>
      </c>
      <c r="F11" s="31" t="s">
        <v>182</v>
      </c>
      <c r="G11" s="19" t="s">
        <v>63</v>
      </c>
      <c r="H11" s="20" t="s">
        <v>25</v>
      </c>
      <c r="I11" s="21">
        <v>67.900000000000006</v>
      </c>
      <c r="J11" s="22">
        <v>1</v>
      </c>
      <c r="K11" s="23">
        <f>Twirling_Duet_DuetDance_Cadet_Lower_Level[[#This Row],[Judge 1
Tamara Beljak]]-J11</f>
        <v>66.900000000000006</v>
      </c>
      <c r="L11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f>
        <v>9</v>
      </c>
      <c r="M11" s="21"/>
      <c r="N11" s="22"/>
      <c r="O11" s="23">
        <f>Twirling_Duet_DuetDance_Cadet_Lower_Level[[#This Row],[Judge 2
Tihomir Bendelja]]-Twirling_Duet_DuetDance_Cadet_Lower_Level[[#This Row],[J2 (-)]]</f>
        <v>0</v>
      </c>
      <c r="P11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f>
        <v>1</v>
      </c>
      <c r="Q11" s="21"/>
      <c r="R11" s="22"/>
      <c r="S11" s="23">
        <f>Twirling_Duet_DuetDance_Cadet_Lower_Level[[#This Row],[Judge 3
Tea Softić]]-R11</f>
        <v>0</v>
      </c>
      <c r="T11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f>
        <v>1</v>
      </c>
      <c r="U11" s="21">
        <v>66.2</v>
      </c>
      <c r="V11" s="22">
        <v>1</v>
      </c>
      <c r="W11" s="23">
        <f>Twirling_Duet_DuetDance_Cadet_Lower_Level[[#This Row],[Judge 4
Bernard Barač]]-V11</f>
        <v>65.2</v>
      </c>
      <c r="X11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f>
        <v>10</v>
      </c>
      <c r="Y11" s="21"/>
      <c r="Z11" s="22"/>
      <c r="AA11" s="23">
        <f>Twirling_Duet_DuetDance_Cadet_Lower_Level[[#This Row],[Judge 5
Barbara Novina]]-Y11</f>
        <v>0</v>
      </c>
      <c r="AB11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f>
        <v>1</v>
      </c>
      <c r="AC11" s="25">
        <f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f>
        <v>132.10000000000002</v>
      </c>
      <c r="AD11" s="25"/>
      <c r="AE11" s="25"/>
      <c r="AF11" s="25">
        <f>SUM(Twirling_Duet_DuetDance_Cadet_Lower_Level[[#This Row],[Total]]-Twirling_Duet_DuetDance_Cadet_Lower_Level[[#This Row],[Low]]-Twirling_Duet_DuetDance_Cadet_Lower_Level[[#This Row],[High]])</f>
        <v>132.10000000000002</v>
      </c>
      <c r="AG11" s="25">
        <f t="shared" si="0"/>
        <v>67.050000000000011</v>
      </c>
      <c r="AH11" s="26">
        <f>Twirling_Duet_DuetDance_Cadet_Lower_Level[[#This Row],[Final Total]]</f>
        <v>132.10000000000002</v>
      </c>
      <c r="AI11" s="28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f>
        <v>10</v>
      </c>
      <c r="AJ11" s="18" t="s">
        <v>190</v>
      </c>
    </row>
    <row r="12" spans="1:55" ht="15.6" x14ac:dyDescent="0.3">
      <c r="A12" s="18">
        <v>131</v>
      </c>
      <c r="B12" s="19">
        <v>1</v>
      </c>
      <c r="C12" s="19" t="s">
        <v>116</v>
      </c>
      <c r="D12" s="19" t="s">
        <v>23</v>
      </c>
      <c r="E12" s="19" t="s">
        <v>141</v>
      </c>
      <c r="F12" s="31" t="s">
        <v>179</v>
      </c>
      <c r="G12" s="19" t="s">
        <v>45</v>
      </c>
      <c r="H12" s="20" t="s">
        <v>25</v>
      </c>
      <c r="I12" s="21">
        <v>65.3</v>
      </c>
      <c r="J12" s="22">
        <v>1.5</v>
      </c>
      <c r="K12" s="23">
        <f>Twirling_Duet_DuetDance_Cadet_Lower_Level[[#This Row],[Judge 1
Tamara Beljak]]-J12</f>
        <v>63.8</v>
      </c>
      <c r="L12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Row],[Category]],Twirling_Duet_DuetDance_Cadet_Lower_Level[J1 TOTAL],"&gt;"&amp;Twirling_Duet_DuetDance_Cadet_Lower_Level[[#This Row],[J1 TOTAL]])+1</f>
        <v>11</v>
      </c>
      <c r="M12" s="21"/>
      <c r="N12" s="22"/>
      <c r="O12" s="23">
        <f>Twirling_Duet_DuetDance_Cadet_Lower_Level[[#This Row],[Judge 2
Tihomir Bendelja]]-Twirling_Duet_DuetDance_Cadet_Lower_Level[[#This Row],[J2 (-)]]</f>
        <v>0</v>
      </c>
      <c r="P12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Row],[Category]],Twirling_Duet_DuetDance_Cadet_Lower_Level[J2 TOTAL],"&gt;"&amp;Twirling_Duet_DuetDance_Cadet_Lower_Level[[#This Row],[J2 TOTAL]])+1</f>
        <v>1</v>
      </c>
      <c r="Q12" s="21"/>
      <c r="R12" s="22"/>
      <c r="S12" s="23">
        <f>Twirling_Duet_DuetDance_Cadet_Lower_Level[[#This Row],[Judge 3
Tea Softić]]-R12</f>
        <v>0</v>
      </c>
      <c r="T12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Row],[Category]],Twirling_Duet_DuetDance_Cadet_Lower_Level[J3 TOTAL],"&gt;"&amp;Twirling_Duet_DuetDance_Cadet_Lower_Level[[#This Row],[J3 TOTAL]])+1</f>
        <v>1</v>
      </c>
      <c r="U12" s="21">
        <v>65.3</v>
      </c>
      <c r="V12" s="22">
        <v>1</v>
      </c>
      <c r="W12" s="23">
        <f>Twirling_Duet_DuetDance_Cadet_Lower_Level[[#This Row],[Judge 4
Bernard Barač]]-V12</f>
        <v>64.3</v>
      </c>
      <c r="X12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Row],[Category]],Twirling_Duet_DuetDance_Cadet_Lower_Level[J4 TOTAL],"&gt;"&amp;Twirling_Duet_DuetDance_Cadet_Lower_Level[[#This Row],[J4 TOTAL]])+1</f>
        <v>11</v>
      </c>
      <c r="Y12" s="21"/>
      <c r="Z12" s="22"/>
      <c r="AA12" s="23">
        <f>Twirling_Duet_DuetDance_Cadet_Lower_Level[[#This Row],[Judge 5
Barbara Novina]]-Y12</f>
        <v>0</v>
      </c>
      <c r="AB12" s="24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Row],[Category]],Twirling_Duet_DuetDance_Cadet_Lower_Level[J5 TOTAL],"&gt;"&amp;Twirling_Duet_DuetDance_Cadet_Lower_Level[[#This Row],[J5 TOTAL]])+1</f>
        <v>1</v>
      </c>
      <c r="AC12" s="25">
        <f>SUM(Twirling_Duet_DuetDance_Cadet_Lower_Level[[#This Row],[J1 TOTAL]]+Twirling_Duet_DuetDance_Cadet_Lower_Level[[#This Row],[J2 TOTAL]]+Twirling_Duet_DuetDance_Cadet_Lower_Level[[#This Row],[J3 TOTAL]]+Twirling_Duet_DuetDance_Cadet_Lower_Level[[#This Row],[J4 TOTAL]])+Twirling_Duet_DuetDance_Cadet_Lower_Level[[#This Row],[J5 TOTAL]]</f>
        <v>128.1</v>
      </c>
      <c r="AD12" s="25"/>
      <c r="AE12" s="25"/>
      <c r="AF12" s="25">
        <f>SUM(Twirling_Duet_DuetDance_Cadet_Lower_Level[[#This Row],[Total]]-Twirling_Duet_DuetDance_Cadet_Lower_Level[[#This Row],[Low]]-Twirling_Duet_DuetDance_Cadet_Lower_Level[[#This Row],[High]])</f>
        <v>128.1</v>
      </c>
      <c r="AG12" s="25">
        <f t="shared" si="0"/>
        <v>65.3</v>
      </c>
      <c r="AH12" s="26">
        <f>Twirling_Duet_DuetDance_Cadet_Lower_Level[[#This Row],[Final Total]]</f>
        <v>128.1</v>
      </c>
      <c r="AI12" s="27">
        <f>COUNTIFS(Twirling_Duet_DuetDance_Cadet_Lower_Level[Age
Division],Twirling_Duet_DuetDance_Cadet_Lower_Level[[#This Row],[Age
Division]],Twirling_Duet_DuetDance_Cadet_Lower_Level[Category],Twirling_Duet_DuetDance_Cadet_Lower_Level[[#This Row],[Category]],Twirling_Duet_DuetDance_Cadet_Lower_Level[FINAL SCORE],"&gt;"&amp;Twirling_Duet_DuetDance_Cadet_Lower_Level[[#This Row],[FINAL SCORE]])+1</f>
        <v>11</v>
      </c>
      <c r="AJ12" s="18" t="s">
        <v>190</v>
      </c>
    </row>
  </sheetData>
  <sheetProtection algorithmName="SHA-512" hashValue="G0O38S36325JBz5W0jIDCF9bMI2dkMtbzHo0enK0/IGO86HQ0/5gyUE1aL1zxJtoBBiazyOMMCqArSDjHkxILA==" saltValue="JzSlOZDPc7aVSCIfytqA5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B1CA2-0224-448A-AF54-AD977CC02AF2}">
  <sheetPr codeName="Sheet26"/>
  <dimension ref="A1:BC7"/>
  <sheetViews>
    <sheetView tabSelected="1" zoomScale="80" zoomScaleNormal="80" workbookViewId="0">
      <pane xSplit="8" topLeftCell="M1" activePane="topRight" state="frozen"/>
      <selection activeCell="V26" sqref="V26"/>
      <selection pane="topRight" activeCell="R3" sqref="R3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88671875" style="29" customWidth="1"/>
    <col min="4" max="4" width="8.109375" style="30" customWidth="1"/>
    <col min="5" max="5" width="10.109375" style="30" customWidth="1"/>
    <col min="6" max="6" width="29.44140625" style="20" customWidth="1"/>
    <col min="7" max="7" width="42.33203125" style="20" customWidth="1"/>
    <col min="8" max="8" width="7.88671875" style="20" customWidth="1"/>
    <col min="9" max="12" width="9.109375" style="20" hidden="1" customWidth="1"/>
    <col min="13" max="20" width="9.109375" style="20" customWidth="1"/>
    <col min="21" max="24" width="9.109375" style="20" hidden="1" customWidth="1"/>
    <col min="25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5.7773437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150</v>
      </c>
      <c r="B2" s="19">
        <v>2</v>
      </c>
      <c r="C2" s="19" t="s">
        <v>116</v>
      </c>
      <c r="D2" s="19" t="s">
        <v>27</v>
      </c>
      <c r="E2" s="19" t="s">
        <v>141</v>
      </c>
      <c r="F2" s="31" t="s">
        <v>194</v>
      </c>
      <c r="G2" s="19" t="s">
        <v>49</v>
      </c>
      <c r="H2" s="20" t="s">
        <v>25</v>
      </c>
      <c r="I2" s="21"/>
      <c r="J2" s="22"/>
      <c r="K2" s="23">
        <f>Twirling_Duet_DuetDance_Junior_Lower_Level[[#This Row],[Judge 1
Tamara Beljak]]-J2</f>
        <v>0</v>
      </c>
      <c r="L2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Row],[Category]],Twirling_Duet_DuetDance_Junior_Lower_Level[J1 TOTAL],"&gt;"&amp;Twirling_Duet_DuetDance_Junior_Lower_Level[[#This Row],[J1 TOTAL]])+1</f>
        <v>1</v>
      </c>
      <c r="M2" s="21">
        <v>87.1</v>
      </c>
      <c r="N2" s="22">
        <v>0.5</v>
      </c>
      <c r="O2" s="23">
        <f>Twirling_Duet_DuetDance_Junior_Lower_Level[[#This Row],[Judge 2
Tihomir Bendelja]]-Twirling_Duet_DuetDance_Junior_Lower_Level[[#This Row],[J2 (-)]]</f>
        <v>86.6</v>
      </c>
      <c r="P2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Row],[Category]],Twirling_Duet_DuetDance_Junior_Lower_Level[J2 TOTAL],"&gt;"&amp;Twirling_Duet_DuetDance_Junior_Lower_Level[[#This Row],[J2 TOTAL]])+1</f>
        <v>1</v>
      </c>
      <c r="Q2" s="21">
        <v>83.2</v>
      </c>
      <c r="R2" s="22">
        <v>0.5</v>
      </c>
      <c r="S2" s="23">
        <f>Twirling_Duet_DuetDance_Junior_Lower_Level[[#This Row],[Judge 3
Tea Softić]]-R2</f>
        <v>82.7</v>
      </c>
      <c r="T2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Row],[Category]],Twirling_Duet_DuetDance_Junior_Lower_Level[J3 TOTAL],"&gt;"&amp;Twirling_Duet_DuetDance_Junior_Lower_Level[[#This Row],[J3 TOTAL]])+1</f>
        <v>1</v>
      </c>
      <c r="U2" s="21"/>
      <c r="V2" s="22"/>
      <c r="W2" s="23">
        <f>Twirling_Duet_DuetDance_Junior_Lower_Level[[#This Row],[Judge 4
Bernard Barač]]-V2</f>
        <v>0</v>
      </c>
      <c r="X2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Row],[Category]],Twirling_Duet_DuetDance_Junior_Lower_Level[J4 TOTAL],"&gt;"&amp;Twirling_Duet_DuetDance_Junior_Lower_Level[[#This Row],[J4 TOTAL]])+1</f>
        <v>1</v>
      </c>
      <c r="Y2" s="21">
        <v>74.599999999999994</v>
      </c>
      <c r="Z2" s="22">
        <v>0.5</v>
      </c>
      <c r="AA2" s="23">
        <f>Twirling_Duet_DuetDance_Junior_Lower_Level[[#This Row],[Judge 5
Barbara Novina]]-Z2</f>
        <v>74.099999999999994</v>
      </c>
      <c r="AB2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Row],[Category]],Twirling_Duet_DuetDance_Junior_Lower_Level[J5 TOTAL],"&gt;"&amp;Twirling_Duet_DuetDance_Junior_Lower_Level[[#This Row],[J5 TOTAL]])+1</f>
        <v>1</v>
      </c>
      <c r="AC2" s="25">
        <f>SUM(Twirling_Duet_DuetDance_Junior_Lower_Level[[#This Row],[J1 TOTAL]]+Twirling_Duet_DuetDance_Junior_Lower_Level[[#This Row],[J2 TOTAL]]+Twirling_Duet_DuetDance_Junior_Lower_Level[[#This Row],[J3 TOTAL]]+Twirling_Duet_DuetDance_Junior_Lower_Level[[#This Row],[J4 TOTAL]])+Twirling_Duet_DuetDance_Junior_Lower_Level[[#This Row],[J5 TOTAL]]</f>
        <v>243.4</v>
      </c>
      <c r="AD2" s="25"/>
      <c r="AE2" s="25"/>
      <c r="AF2" s="25">
        <f>SUM(Twirling_Duet_DuetDance_Junior_Lower_Level[[#This Row],[Total]]-Twirling_Duet_DuetDance_Junior_Lower_Level[[#This Row],[Low]]-Twirling_Duet_DuetDance_Junior_Lower_Level[[#This Row],[High]])</f>
        <v>243.4</v>
      </c>
      <c r="AG2" s="25">
        <f t="shared" ref="AG2:AG7" si="0">AVERAGE(I2,M2,Q2,U2,Y2)</f>
        <v>81.63333333333334</v>
      </c>
      <c r="AH2" s="26">
        <f>Twirling_Duet_DuetDance_Junior_Lower_Level[[#This Row],[Final Total]]</f>
        <v>243.4</v>
      </c>
      <c r="AI2" s="28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Row],[Category]],Twirling_Duet_DuetDance_Junior_Lower_Level[FINAL SCORE],"&gt;"&amp;Twirling_Duet_DuetDance_Junior_Lower_Level[[#This Row],[FINAL SCORE]])+1</f>
        <v>1</v>
      </c>
      <c r="AJ2" s="18" t="s">
        <v>190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152</v>
      </c>
      <c r="B3" s="19">
        <v>2</v>
      </c>
      <c r="C3" s="19" t="s">
        <v>116</v>
      </c>
      <c r="D3" s="19" t="s">
        <v>27</v>
      </c>
      <c r="E3" s="19" t="s">
        <v>141</v>
      </c>
      <c r="F3" s="31" t="s">
        <v>195</v>
      </c>
      <c r="G3" s="19" t="s">
        <v>47</v>
      </c>
      <c r="H3" s="20" t="s">
        <v>25</v>
      </c>
      <c r="I3" s="21"/>
      <c r="J3" s="22"/>
      <c r="K3" s="23">
        <f>Twirling_Duet_DuetDance_Junior_Lower_Level[[#This Row],[Judge 1
Tamara Beljak]]-J3</f>
        <v>0</v>
      </c>
      <c r="L3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Row],[Category]],Twirling_Duet_DuetDance_Junior_Lower_Level[J1 TOTAL],"&gt;"&amp;Twirling_Duet_DuetDance_Junior_Lower_Level[[#This Row],[J1 TOTAL]])+1</f>
        <v>1</v>
      </c>
      <c r="M3" s="21">
        <v>73.3</v>
      </c>
      <c r="N3" s="22">
        <v>1</v>
      </c>
      <c r="O3" s="23">
        <f>Twirling_Duet_DuetDance_Junior_Lower_Level[[#This Row],[Judge 2
Tihomir Bendelja]]-Twirling_Duet_DuetDance_Junior_Lower_Level[[#This Row],[J2 (-)]]</f>
        <v>72.3</v>
      </c>
      <c r="P3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Row],[Category]],Twirling_Duet_DuetDance_Junior_Lower_Level[J2 TOTAL],"&gt;"&amp;Twirling_Duet_DuetDance_Junior_Lower_Level[[#This Row],[J2 TOTAL]])+1</f>
        <v>2</v>
      </c>
      <c r="Q3" s="21">
        <v>69.900000000000006</v>
      </c>
      <c r="R3" s="22">
        <v>1</v>
      </c>
      <c r="S3" s="23">
        <f>Twirling_Duet_DuetDance_Junior_Lower_Level[[#This Row],[Judge 3
Tea Softić]]-R3</f>
        <v>68.900000000000006</v>
      </c>
      <c r="T3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Row],[Category]],Twirling_Duet_DuetDance_Junior_Lower_Level[J3 TOTAL],"&gt;"&amp;Twirling_Duet_DuetDance_Junior_Lower_Level[[#This Row],[J3 TOTAL]])+1</f>
        <v>2</v>
      </c>
      <c r="U3" s="21"/>
      <c r="V3" s="22"/>
      <c r="W3" s="23">
        <f>Twirling_Duet_DuetDance_Junior_Lower_Level[[#This Row],[Judge 4
Bernard Barač]]-V3</f>
        <v>0</v>
      </c>
      <c r="X3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Row],[Category]],Twirling_Duet_DuetDance_Junior_Lower_Level[J4 TOTAL],"&gt;"&amp;Twirling_Duet_DuetDance_Junior_Lower_Level[[#This Row],[J4 TOTAL]])+1</f>
        <v>1</v>
      </c>
      <c r="Y3" s="21">
        <v>73.099999999999994</v>
      </c>
      <c r="Z3" s="22">
        <v>1</v>
      </c>
      <c r="AA3" s="23">
        <f>Twirling_Duet_DuetDance_Junior_Lower_Level[[#This Row],[Judge 5
Barbara Novina]]-Z3</f>
        <v>72.099999999999994</v>
      </c>
      <c r="AB3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Row],[Category]],Twirling_Duet_DuetDance_Junior_Lower_Level[J5 TOTAL],"&gt;"&amp;Twirling_Duet_DuetDance_Junior_Lower_Level[[#This Row],[J5 TOTAL]])+1</f>
        <v>2</v>
      </c>
      <c r="AC3" s="25">
        <f>SUM(Twirling_Duet_DuetDance_Junior_Lower_Level[[#This Row],[J1 TOTAL]]+Twirling_Duet_DuetDance_Junior_Lower_Level[[#This Row],[J2 TOTAL]]+Twirling_Duet_DuetDance_Junior_Lower_Level[[#This Row],[J3 TOTAL]]+Twirling_Duet_DuetDance_Junior_Lower_Level[[#This Row],[J4 TOTAL]])+Twirling_Duet_DuetDance_Junior_Lower_Level[[#This Row],[J5 TOTAL]]</f>
        <v>213.29999999999998</v>
      </c>
      <c r="AD3" s="25"/>
      <c r="AE3" s="25"/>
      <c r="AF3" s="25">
        <f>SUM(Twirling_Duet_DuetDance_Junior_Lower_Level[[#This Row],[Total]]-Twirling_Duet_DuetDance_Junior_Lower_Level[[#This Row],[Low]]-Twirling_Duet_DuetDance_Junior_Lower_Level[[#This Row],[High]])</f>
        <v>213.29999999999998</v>
      </c>
      <c r="AG3" s="25">
        <f t="shared" si="0"/>
        <v>72.099999999999994</v>
      </c>
      <c r="AH3" s="26">
        <f>Twirling_Duet_DuetDance_Junior_Lower_Level[[#This Row],[Final Total]]</f>
        <v>213.29999999999998</v>
      </c>
      <c r="AI3" s="28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Row],[Category]],Twirling_Duet_DuetDance_Junior_Lower_Level[FINAL SCORE],"&gt;"&amp;Twirling_Duet_DuetDance_Junior_Lower_Level[[#This Row],[FINAL SCORE]])+1</f>
        <v>2</v>
      </c>
      <c r="AJ3" s="18" t="s">
        <v>190</v>
      </c>
    </row>
    <row r="4" spans="1:55" ht="15.6" x14ac:dyDescent="0.3">
      <c r="A4" s="18">
        <v>154</v>
      </c>
      <c r="B4" s="19">
        <v>2</v>
      </c>
      <c r="C4" s="19" t="s">
        <v>116</v>
      </c>
      <c r="D4" s="19" t="s">
        <v>27</v>
      </c>
      <c r="E4" s="19" t="s">
        <v>141</v>
      </c>
      <c r="F4" s="31" t="s">
        <v>196</v>
      </c>
      <c r="G4" s="19" t="s">
        <v>45</v>
      </c>
      <c r="H4" s="20" t="s">
        <v>25</v>
      </c>
      <c r="I4" s="21"/>
      <c r="J4" s="22"/>
      <c r="K4" s="23">
        <f>Twirling_Duet_DuetDance_Junior_Lower_Level[[#This Row],[Judge 1
Tamara Beljak]]-J4</f>
        <v>0</v>
      </c>
      <c r="L4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Row],[Category]],Twirling_Duet_DuetDance_Junior_Lower_Level[J1 TOTAL],"&gt;"&amp;Twirling_Duet_DuetDance_Junior_Lower_Level[[#This Row],[J1 TOTAL]])+1</f>
        <v>1</v>
      </c>
      <c r="M4" s="21">
        <v>72</v>
      </c>
      <c r="N4" s="22">
        <v>1</v>
      </c>
      <c r="O4" s="23">
        <f>Twirling_Duet_DuetDance_Junior_Lower_Level[[#This Row],[Judge 2
Tihomir Bendelja]]-Twirling_Duet_DuetDance_Junior_Lower_Level[[#This Row],[J2 (-)]]</f>
        <v>71</v>
      </c>
      <c r="P4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Row],[Category]],Twirling_Duet_DuetDance_Junior_Lower_Level[J2 TOTAL],"&gt;"&amp;Twirling_Duet_DuetDance_Junior_Lower_Level[[#This Row],[J2 TOTAL]])+1</f>
        <v>3</v>
      </c>
      <c r="Q4" s="21">
        <v>69.8</v>
      </c>
      <c r="R4" s="22">
        <v>1</v>
      </c>
      <c r="S4" s="23">
        <f>Twirling_Duet_DuetDance_Junior_Lower_Level[[#This Row],[Judge 3
Tea Softić]]-R4</f>
        <v>68.8</v>
      </c>
      <c r="T4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Row],[Category]],Twirling_Duet_DuetDance_Junior_Lower_Level[J3 TOTAL],"&gt;"&amp;Twirling_Duet_DuetDance_Junior_Lower_Level[[#This Row],[J3 TOTAL]])+1</f>
        <v>3</v>
      </c>
      <c r="U4" s="21"/>
      <c r="V4" s="22"/>
      <c r="W4" s="23">
        <f>Twirling_Duet_DuetDance_Junior_Lower_Level[[#This Row],[Judge 4
Bernard Barač]]-V4</f>
        <v>0</v>
      </c>
      <c r="X4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Row],[Category]],Twirling_Duet_DuetDance_Junior_Lower_Level[J4 TOTAL],"&gt;"&amp;Twirling_Duet_DuetDance_Junior_Lower_Level[[#This Row],[J4 TOTAL]])+1</f>
        <v>1</v>
      </c>
      <c r="Y4" s="21">
        <v>72.400000000000006</v>
      </c>
      <c r="Z4" s="22">
        <v>1</v>
      </c>
      <c r="AA4" s="23">
        <f>Twirling_Duet_DuetDance_Junior_Lower_Level[[#This Row],[Judge 5
Barbara Novina]]-Z4</f>
        <v>71.400000000000006</v>
      </c>
      <c r="AB4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Row],[Category]],Twirling_Duet_DuetDance_Junior_Lower_Level[J5 TOTAL],"&gt;"&amp;Twirling_Duet_DuetDance_Junior_Lower_Level[[#This Row],[J5 TOTAL]])+1</f>
        <v>3</v>
      </c>
      <c r="AC4" s="25">
        <f>SUM(Twirling_Duet_DuetDance_Junior_Lower_Level[[#This Row],[J1 TOTAL]]+Twirling_Duet_DuetDance_Junior_Lower_Level[[#This Row],[J2 TOTAL]]+Twirling_Duet_DuetDance_Junior_Lower_Level[[#This Row],[J3 TOTAL]]+Twirling_Duet_DuetDance_Junior_Lower_Level[[#This Row],[J4 TOTAL]])+Twirling_Duet_DuetDance_Junior_Lower_Level[[#This Row],[J5 TOTAL]]</f>
        <v>211.20000000000002</v>
      </c>
      <c r="AD4" s="25"/>
      <c r="AE4" s="25"/>
      <c r="AF4" s="25">
        <f>SUM(Twirling_Duet_DuetDance_Junior_Lower_Level[[#This Row],[Total]]-Twirling_Duet_DuetDance_Junior_Lower_Level[[#This Row],[Low]]-Twirling_Duet_DuetDance_Junior_Lower_Level[[#This Row],[High]])</f>
        <v>211.20000000000002</v>
      </c>
      <c r="AG4" s="25">
        <f t="shared" si="0"/>
        <v>71.400000000000006</v>
      </c>
      <c r="AH4" s="26">
        <f>Twirling_Duet_DuetDance_Junior_Lower_Level[[#This Row],[Final Total]]</f>
        <v>211.20000000000002</v>
      </c>
      <c r="AI4" s="28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Row],[Category]],Twirling_Duet_DuetDance_Junior_Lower_Level[FINAL SCORE],"&gt;"&amp;Twirling_Duet_DuetDance_Junior_Lower_Level[[#This Row],[FINAL SCORE]])+1</f>
        <v>3</v>
      </c>
      <c r="AJ4" s="18" t="s">
        <v>190</v>
      </c>
    </row>
    <row r="5" spans="1:55" ht="15.6" x14ac:dyDescent="0.3">
      <c r="A5" s="18">
        <v>146</v>
      </c>
      <c r="B5" s="19">
        <v>2</v>
      </c>
      <c r="C5" s="19" t="s">
        <v>116</v>
      </c>
      <c r="D5" s="19" t="s">
        <v>27</v>
      </c>
      <c r="E5" s="19" t="s">
        <v>141</v>
      </c>
      <c r="F5" s="31" t="s">
        <v>192</v>
      </c>
      <c r="G5" s="19" t="s">
        <v>32</v>
      </c>
      <c r="H5" s="20" t="s">
        <v>25</v>
      </c>
      <c r="I5" s="21"/>
      <c r="J5" s="22"/>
      <c r="K5" s="23">
        <f>Twirling_Duet_DuetDance_Junior_Lower_Level[[#This Row],[Judge 1
Tamara Beljak]]-J5</f>
        <v>0</v>
      </c>
      <c r="L5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Row],[Category]],Twirling_Duet_DuetDance_Junior_Lower_Level[J1 TOTAL],"&gt;"&amp;Twirling_Duet_DuetDance_Junior_Lower_Level[[#This Row],[J1 TOTAL]])+1</f>
        <v>1</v>
      </c>
      <c r="M5" s="21">
        <v>70.3</v>
      </c>
      <c r="N5" s="22">
        <v>4</v>
      </c>
      <c r="O5" s="23">
        <f>Twirling_Duet_DuetDance_Junior_Lower_Level[[#This Row],[Judge 2
Tihomir Bendelja]]-Twirling_Duet_DuetDance_Junior_Lower_Level[[#This Row],[J2 (-)]]</f>
        <v>66.3</v>
      </c>
      <c r="P5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Row],[Category]],Twirling_Duet_DuetDance_Junior_Lower_Level[J2 TOTAL],"&gt;"&amp;Twirling_Duet_DuetDance_Junior_Lower_Level[[#This Row],[J2 TOTAL]])+1</f>
        <v>4</v>
      </c>
      <c r="Q5" s="21">
        <v>71.599999999999994</v>
      </c>
      <c r="R5" s="22">
        <v>4</v>
      </c>
      <c r="S5" s="23">
        <f>Twirling_Duet_DuetDance_Junior_Lower_Level[[#This Row],[Judge 3
Tea Softić]]-R5</f>
        <v>67.599999999999994</v>
      </c>
      <c r="T5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Row],[Category]],Twirling_Duet_DuetDance_Junior_Lower_Level[J3 TOTAL],"&gt;"&amp;Twirling_Duet_DuetDance_Junior_Lower_Level[[#This Row],[J3 TOTAL]])+1</f>
        <v>4</v>
      </c>
      <c r="U5" s="21"/>
      <c r="V5" s="22"/>
      <c r="W5" s="23">
        <f>Twirling_Duet_DuetDance_Junior_Lower_Level[[#This Row],[Judge 4
Bernard Barač]]-V5</f>
        <v>0</v>
      </c>
      <c r="X5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Row],[Category]],Twirling_Duet_DuetDance_Junior_Lower_Level[J4 TOTAL],"&gt;"&amp;Twirling_Duet_DuetDance_Junior_Lower_Level[[#This Row],[J4 TOTAL]])+1</f>
        <v>1</v>
      </c>
      <c r="Y5" s="21">
        <v>68.3</v>
      </c>
      <c r="Z5" s="22">
        <v>4</v>
      </c>
      <c r="AA5" s="23">
        <f>Twirling_Duet_DuetDance_Junior_Lower_Level[[#This Row],[Judge 5
Barbara Novina]]-Z5</f>
        <v>64.3</v>
      </c>
      <c r="AB5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Row],[Category]],Twirling_Duet_DuetDance_Junior_Lower_Level[J5 TOTAL],"&gt;"&amp;Twirling_Duet_DuetDance_Junior_Lower_Level[[#This Row],[J5 TOTAL]])+1</f>
        <v>5</v>
      </c>
      <c r="AC5" s="25">
        <f>SUM(Twirling_Duet_DuetDance_Junior_Lower_Level[[#This Row],[J1 TOTAL]]+Twirling_Duet_DuetDance_Junior_Lower_Level[[#This Row],[J2 TOTAL]]+Twirling_Duet_DuetDance_Junior_Lower_Level[[#This Row],[J3 TOTAL]]+Twirling_Duet_DuetDance_Junior_Lower_Level[[#This Row],[J4 TOTAL]])+Twirling_Duet_DuetDance_Junior_Lower_Level[[#This Row],[J5 TOTAL]]</f>
        <v>198.2</v>
      </c>
      <c r="AD5" s="25"/>
      <c r="AE5" s="25"/>
      <c r="AF5" s="25">
        <f>SUM(Twirling_Duet_DuetDance_Junior_Lower_Level[[#This Row],[Total]]-Twirling_Duet_DuetDance_Junior_Lower_Level[[#This Row],[Low]]-Twirling_Duet_DuetDance_Junior_Lower_Level[[#This Row],[High]])</f>
        <v>198.2</v>
      </c>
      <c r="AG5" s="25">
        <f t="shared" si="0"/>
        <v>70.066666666666663</v>
      </c>
      <c r="AH5" s="26">
        <f>Twirling_Duet_DuetDance_Junior_Lower_Level[[#This Row],[Final Total]]</f>
        <v>198.2</v>
      </c>
      <c r="AI5" s="28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Row],[Category]],Twirling_Duet_DuetDance_Junior_Lower_Level[FINAL SCORE],"&gt;"&amp;Twirling_Duet_DuetDance_Junior_Lower_Level[[#This Row],[FINAL SCORE]])+1</f>
        <v>4</v>
      </c>
      <c r="AJ5" s="18" t="s">
        <v>190</v>
      </c>
    </row>
    <row r="6" spans="1:55" ht="15.6" x14ac:dyDescent="0.3">
      <c r="A6" s="18">
        <v>148</v>
      </c>
      <c r="B6" s="19">
        <v>2</v>
      </c>
      <c r="C6" s="19" t="s">
        <v>116</v>
      </c>
      <c r="D6" s="19" t="s">
        <v>27</v>
      </c>
      <c r="E6" s="19" t="s">
        <v>141</v>
      </c>
      <c r="F6" s="31" t="s">
        <v>193</v>
      </c>
      <c r="G6" s="19" t="s">
        <v>73</v>
      </c>
      <c r="H6" s="20" t="s">
        <v>28</v>
      </c>
      <c r="I6" s="21"/>
      <c r="J6" s="22"/>
      <c r="K6" s="23">
        <f>Twirling_Duet_DuetDance_Junior_Lower_Level[[#This Row],[Judge 1
Tamara Beljak]]-J6</f>
        <v>0</v>
      </c>
      <c r="L6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Row],[Category]],Twirling_Duet_DuetDance_Junior_Lower_Level[J1 TOTAL],"&gt;"&amp;Twirling_Duet_DuetDance_Junior_Lower_Level[[#This Row],[J1 TOTAL]])+1</f>
        <v>1</v>
      </c>
      <c r="M6" s="21">
        <v>65.3</v>
      </c>
      <c r="N6" s="22">
        <v>0.5</v>
      </c>
      <c r="O6" s="23">
        <f>Twirling_Duet_DuetDance_Junior_Lower_Level[[#This Row],[Judge 2
Tihomir Bendelja]]-Twirling_Duet_DuetDance_Junior_Lower_Level[[#This Row],[J2 (-)]]</f>
        <v>64.8</v>
      </c>
      <c r="P6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Row],[Category]],Twirling_Duet_DuetDance_Junior_Lower_Level[J2 TOTAL],"&gt;"&amp;Twirling_Duet_DuetDance_Junior_Lower_Level[[#This Row],[J2 TOTAL]])+1</f>
        <v>5</v>
      </c>
      <c r="Q6" s="21">
        <v>66.099999999999994</v>
      </c>
      <c r="R6" s="22">
        <v>0.5</v>
      </c>
      <c r="S6" s="23">
        <f>Twirling_Duet_DuetDance_Junior_Lower_Level[[#This Row],[Judge 3
Tea Softić]]-R6</f>
        <v>65.599999999999994</v>
      </c>
      <c r="T6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Row],[Category]],Twirling_Duet_DuetDance_Junior_Lower_Level[J3 TOTAL],"&gt;"&amp;Twirling_Duet_DuetDance_Junior_Lower_Level[[#This Row],[J3 TOTAL]])+1</f>
        <v>5</v>
      </c>
      <c r="U6" s="21"/>
      <c r="V6" s="22"/>
      <c r="W6" s="23">
        <f>Twirling_Duet_DuetDance_Junior_Lower_Level[[#This Row],[Judge 4
Bernard Barač]]-V6</f>
        <v>0</v>
      </c>
      <c r="X6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Row],[Category]],Twirling_Duet_DuetDance_Junior_Lower_Level[J4 TOTAL],"&gt;"&amp;Twirling_Duet_DuetDance_Junior_Lower_Level[[#This Row],[J4 TOTAL]])+1</f>
        <v>1</v>
      </c>
      <c r="Y6" s="21">
        <v>66.5</v>
      </c>
      <c r="Z6" s="22">
        <v>0.5</v>
      </c>
      <c r="AA6" s="23">
        <f>Twirling_Duet_DuetDance_Junior_Lower_Level[[#This Row],[Judge 5
Barbara Novina]]-Z6</f>
        <v>66</v>
      </c>
      <c r="AB6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Row],[Category]],Twirling_Duet_DuetDance_Junior_Lower_Level[J5 TOTAL],"&gt;"&amp;Twirling_Duet_DuetDance_Junior_Lower_Level[[#This Row],[J5 TOTAL]])+1</f>
        <v>4</v>
      </c>
      <c r="AC6" s="25">
        <f>SUM(Twirling_Duet_DuetDance_Junior_Lower_Level[[#This Row],[J1 TOTAL]]+Twirling_Duet_DuetDance_Junior_Lower_Level[[#This Row],[J2 TOTAL]]+Twirling_Duet_DuetDance_Junior_Lower_Level[[#This Row],[J3 TOTAL]]+Twirling_Duet_DuetDance_Junior_Lower_Level[[#This Row],[J4 TOTAL]])+Twirling_Duet_DuetDance_Junior_Lower_Level[[#This Row],[J5 TOTAL]]</f>
        <v>196.39999999999998</v>
      </c>
      <c r="AD6" s="25"/>
      <c r="AE6" s="25"/>
      <c r="AF6" s="25">
        <f>SUM(Twirling_Duet_DuetDance_Junior_Lower_Level[[#This Row],[Total]]-Twirling_Duet_DuetDance_Junior_Lower_Level[[#This Row],[Low]]-Twirling_Duet_DuetDance_Junior_Lower_Level[[#This Row],[High]])</f>
        <v>196.39999999999998</v>
      </c>
      <c r="AG6" s="25">
        <f t="shared" si="0"/>
        <v>65.966666666666654</v>
      </c>
      <c r="AH6" s="26">
        <f>Twirling_Duet_DuetDance_Junior_Lower_Level[[#This Row],[Final Total]]</f>
        <v>196.39999999999998</v>
      </c>
      <c r="AI6" s="28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Row],[Category]],Twirling_Duet_DuetDance_Junior_Lower_Level[FINAL SCORE],"&gt;"&amp;Twirling_Duet_DuetDance_Junior_Lower_Level[[#This Row],[FINAL SCORE]])+1</f>
        <v>5</v>
      </c>
      <c r="AJ6" s="18" t="s">
        <v>190</v>
      </c>
    </row>
    <row r="7" spans="1:55" ht="15.6" x14ac:dyDescent="0.3">
      <c r="A7" s="18">
        <v>144</v>
      </c>
      <c r="B7" s="19">
        <v>2</v>
      </c>
      <c r="C7" s="19" t="s">
        <v>116</v>
      </c>
      <c r="D7" s="19" t="s">
        <v>27</v>
      </c>
      <c r="E7" s="19" t="s">
        <v>141</v>
      </c>
      <c r="F7" s="31" t="s">
        <v>191</v>
      </c>
      <c r="G7" s="19" t="s">
        <v>32</v>
      </c>
      <c r="H7" s="20" t="s">
        <v>25</v>
      </c>
      <c r="I7" s="21"/>
      <c r="J7" s="22"/>
      <c r="K7" s="23">
        <f>Twirling_Duet_DuetDance_Junior_Lower_Level[[#This Row],[Judge 1
Tamara Beljak]]-J7</f>
        <v>0</v>
      </c>
      <c r="L7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Row],[Category]],Twirling_Duet_DuetDance_Junior_Lower_Level[J1 TOTAL],"&gt;"&amp;Twirling_Duet_DuetDance_Junior_Lower_Level[[#This Row],[J1 TOTAL]])+1</f>
        <v>1</v>
      </c>
      <c r="M7" s="21">
        <v>65.099999999999994</v>
      </c>
      <c r="N7" s="22">
        <v>3.5</v>
      </c>
      <c r="O7" s="23">
        <f>Twirling_Duet_DuetDance_Junior_Lower_Level[[#This Row],[Judge 2
Tihomir Bendelja]]-Twirling_Duet_DuetDance_Junior_Lower_Level[[#This Row],[J2 (-)]]</f>
        <v>61.599999999999994</v>
      </c>
      <c r="P7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Row],[Category]],Twirling_Duet_DuetDance_Junior_Lower_Level[J2 TOTAL],"&gt;"&amp;Twirling_Duet_DuetDance_Junior_Lower_Level[[#This Row],[J2 TOTAL]])+1</f>
        <v>6</v>
      </c>
      <c r="Q7" s="21">
        <v>65.099999999999994</v>
      </c>
      <c r="R7" s="22">
        <v>3.5</v>
      </c>
      <c r="S7" s="23">
        <f>Twirling_Duet_DuetDance_Junior_Lower_Level[[#This Row],[Judge 3
Tea Softić]]-R7</f>
        <v>61.599999999999994</v>
      </c>
      <c r="T7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Row],[Category]],Twirling_Duet_DuetDance_Junior_Lower_Level[J3 TOTAL],"&gt;"&amp;Twirling_Duet_DuetDance_Junior_Lower_Level[[#This Row],[J3 TOTAL]])+1</f>
        <v>6</v>
      </c>
      <c r="U7" s="21"/>
      <c r="V7" s="22"/>
      <c r="W7" s="23">
        <f>Twirling_Duet_DuetDance_Junior_Lower_Level[[#This Row],[Judge 4
Bernard Barač]]-V7</f>
        <v>0</v>
      </c>
      <c r="X7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Row],[Category]],Twirling_Duet_DuetDance_Junior_Lower_Level[J4 TOTAL],"&gt;"&amp;Twirling_Duet_DuetDance_Junior_Lower_Level[[#This Row],[J4 TOTAL]])+1</f>
        <v>1</v>
      </c>
      <c r="Y7" s="21">
        <v>62.6</v>
      </c>
      <c r="Z7" s="22">
        <v>3.5</v>
      </c>
      <c r="AA7" s="23">
        <f>Twirling_Duet_DuetDance_Junior_Lower_Level[[#This Row],[Judge 5
Barbara Novina]]-Z7</f>
        <v>59.1</v>
      </c>
      <c r="AB7" s="24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Row],[Category]],Twirling_Duet_DuetDance_Junior_Lower_Level[J5 TOTAL],"&gt;"&amp;Twirling_Duet_DuetDance_Junior_Lower_Level[[#This Row],[J5 TOTAL]])+1</f>
        <v>6</v>
      </c>
      <c r="AC7" s="25">
        <f>SUM(Twirling_Duet_DuetDance_Junior_Lower_Level[[#This Row],[J1 TOTAL]]+Twirling_Duet_DuetDance_Junior_Lower_Level[[#This Row],[J2 TOTAL]]+Twirling_Duet_DuetDance_Junior_Lower_Level[[#This Row],[J3 TOTAL]]+Twirling_Duet_DuetDance_Junior_Lower_Level[[#This Row],[J4 TOTAL]])+Twirling_Duet_DuetDance_Junior_Lower_Level[[#This Row],[J5 TOTAL]]</f>
        <v>182.29999999999998</v>
      </c>
      <c r="AD7" s="25"/>
      <c r="AE7" s="25"/>
      <c r="AF7" s="25">
        <f>SUM(Twirling_Duet_DuetDance_Junior_Lower_Level[[#This Row],[Total]]-Twirling_Duet_DuetDance_Junior_Lower_Level[[#This Row],[Low]]-Twirling_Duet_DuetDance_Junior_Lower_Level[[#This Row],[High]])</f>
        <v>182.29999999999998</v>
      </c>
      <c r="AG7" s="25">
        <f t="shared" si="0"/>
        <v>64.266666666666666</v>
      </c>
      <c r="AH7" s="26">
        <f>Twirling_Duet_DuetDance_Junior_Lower_Level[[#This Row],[Final Total]]</f>
        <v>182.29999999999998</v>
      </c>
      <c r="AI7" s="27">
        <f>COUNTIFS(Twirling_Duet_DuetDance_Junior_Lower_Level[Age
Division],Twirling_Duet_DuetDance_Junior_Lower_Level[[#This Row],[Age
Division]],Twirling_Duet_DuetDance_Junior_Lower_Level[Category],Twirling_Duet_DuetDance_Junior_Lower_Level[[#This Row],[Category]],Twirling_Duet_DuetDance_Junior_Lower_Level[FINAL SCORE],"&gt;"&amp;Twirling_Duet_DuetDance_Junior_Lower_Level[[#This Row],[FINAL SCORE]])+1</f>
        <v>6</v>
      </c>
      <c r="AJ7" s="18" t="s">
        <v>190</v>
      </c>
    </row>
  </sheetData>
  <sheetProtection algorithmName="SHA-512" hashValue="y7H8DBK0t+Tvas2hXs7UkAXHaNoeV2VZlejJQ5BtX83OAcxHNHpCDK8i3lbiNvRfKNSPqeoYeqK+OiqwGEbeEg==" saltValue="VuwltU3ti3jaxhPdJ6lLb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F3508-8325-4806-A1D9-3BC6F3488317}">
  <sheetPr codeName="Sheet27"/>
  <dimension ref="A1:BC5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9.6640625" style="30" bestFit="1" customWidth="1"/>
    <col min="5" max="5" width="9.5546875" style="30" bestFit="1" customWidth="1"/>
    <col min="6" max="6" width="25.77734375" style="20" customWidth="1"/>
    <col min="7" max="7" width="39.5546875" style="20" customWidth="1"/>
    <col min="8" max="8" width="9.6640625" style="20" bestFit="1" customWidth="1"/>
    <col min="9" max="12" width="9.109375" style="20" customWidth="1"/>
    <col min="13" max="20" width="9.109375" style="20" hidden="1" customWidth="1"/>
    <col min="21" max="24" width="9.109375" style="20" customWidth="1"/>
    <col min="25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155</v>
      </c>
      <c r="B2" s="19">
        <v>1</v>
      </c>
      <c r="C2" s="19" t="s">
        <v>116</v>
      </c>
      <c r="D2" s="19" t="s">
        <v>27</v>
      </c>
      <c r="E2" s="19" t="s">
        <v>142</v>
      </c>
      <c r="F2" s="19" t="s">
        <v>199</v>
      </c>
      <c r="G2" s="19" t="s">
        <v>32</v>
      </c>
      <c r="H2" s="20" t="s">
        <v>25</v>
      </c>
      <c r="I2" s="21">
        <v>86.1</v>
      </c>
      <c r="J2" s="22">
        <v>1</v>
      </c>
      <c r="K2" s="23">
        <f>Twirling_Duet_DuetDance_Junior_Upper_Level[[#This Row],[Judge 1
Tamara Beljak]]-J2</f>
        <v>85.1</v>
      </c>
      <c r="L2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Row],[Category]],Twirling_Duet_DuetDance_Junior_Upper_Level[J1 TOTAL],"&gt;"&amp;Twirling_Duet_DuetDance_Junior_Upper_Level[[#This Row],[J1 TOTAL]])+1</f>
        <v>1</v>
      </c>
      <c r="M2" s="21"/>
      <c r="N2" s="22"/>
      <c r="O2" s="23">
        <f>Twirling_Duet_DuetDance_Junior_Upper_Level[[#This Row],[Judge 2
Tihomir Bendelja]]-Twirling_Duet_DuetDance_Junior_Upper_Level[[#This Row],[J2 (-)]]</f>
        <v>0</v>
      </c>
      <c r="P2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Row],[Category]],Twirling_Duet_DuetDance_Junior_Upper_Level[J2 TOTAL],"&gt;"&amp;Twirling_Duet_DuetDance_Junior_Upper_Level[[#This Row],[J2 TOTAL]])+1</f>
        <v>1</v>
      </c>
      <c r="Q2" s="21"/>
      <c r="R2" s="22"/>
      <c r="S2" s="23">
        <f>Twirling_Duet_DuetDance_Junior_Upper_Level[[#This Row],[Judge 3
Tea Softić]]-R2</f>
        <v>0</v>
      </c>
      <c r="T2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Row],[Category]],Twirling_Duet_DuetDance_Junior_Upper_Level[J3 TOTAL],"&gt;"&amp;Twirling_Duet_DuetDance_Junior_Upper_Level[[#This Row],[J3 TOTAL]])+1</f>
        <v>1</v>
      </c>
      <c r="U2" s="21">
        <v>85.3</v>
      </c>
      <c r="V2" s="22">
        <v>1</v>
      </c>
      <c r="W2" s="23">
        <f>Twirling_Duet_DuetDance_Junior_Upper_Level[[#This Row],[Judge 4
Bernard Barač]]-V2</f>
        <v>84.3</v>
      </c>
      <c r="X2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Row],[Category]],Twirling_Duet_DuetDance_Junior_Upper_Level[J4 TOTAL],"&gt;"&amp;Twirling_Duet_DuetDance_Junior_Upper_Level[[#This Row],[J4 TOTAL]])+1</f>
        <v>1</v>
      </c>
      <c r="Y2" s="21"/>
      <c r="Z2" s="22"/>
      <c r="AA2" s="23">
        <f>Twirling_Duet_DuetDance_Junior_Upper_Level[[#This Row],[Judge 5
Barbara Novina]]-Y2</f>
        <v>0</v>
      </c>
      <c r="AB2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Row],[Category]],Twirling_Duet_DuetDance_Junior_Upper_Level[J5 TOTAL],"&gt;"&amp;Twirling_Duet_DuetDance_Junior_Upper_Level[[#This Row],[J5 TOTAL]])+1</f>
        <v>1</v>
      </c>
      <c r="AC2" s="25">
        <f>SUM(Twirling_Duet_DuetDance_Junior_Upper_Level[[#This Row],[J1 TOTAL]]+Twirling_Duet_DuetDance_Junior_Upper_Level[[#This Row],[J2 TOTAL]]+Twirling_Duet_DuetDance_Junior_Upper_Level[[#This Row],[J3 TOTAL]]+Twirling_Duet_DuetDance_Junior_Upper_Level[[#This Row],[J4 TOTAL]])+Twirling_Duet_DuetDance_Junior_Upper_Level[[#This Row],[J5 TOTAL]]</f>
        <v>169.39999999999998</v>
      </c>
      <c r="AD2" s="25"/>
      <c r="AE2" s="25"/>
      <c r="AF2" s="25">
        <f>SUM(Twirling_Duet_DuetDance_Junior_Upper_Level[[#This Row],[Total]]-Twirling_Duet_DuetDance_Junior_Upper_Level[[#This Row],[Low]]-Twirling_Duet_DuetDance_Junior_Upper_Level[[#This Row],[High]])</f>
        <v>169.39999999999998</v>
      </c>
      <c r="AG2" s="25">
        <f>AVERAGE(I2,M2,Q2,U2,Y2)</f>
        <v>85.699999999999989</v>
      </c>
      <c r="AH2" s="26">
        <f>Twirling_Duet_DuetDance_Junior_Upper_Level[[#This Row],[Final Total]]</f>
        <v>169.39999999999998</v>
      </c>
      <c r="AI2" s="28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Row],[Category]],Twirling_Duet_DuetDance_Junior_Upper_Level[FINAL SCORE],"&gt;"&amp;Twirling_Duet_DuetDance_Junior_Upper_Level[[#This Row],[FINAL SCORE]])+1</f>
        <v>1</v>
      </c>
      <c r="AJ2" s="18" t="s">
        <v>190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157</v>
      </c>
      <c r="B3" s="19">
        <v>1</v>
      </c>
      <c r="C3" s="19" t="s">
        <v>116</v>
      </c>
      <c r="D3" s="19" t="s">
        <v>27</v>
      </c>
      <c r="E3" s="19" t="s">
        <v>142</v>
      </c>
      <c r="F3" s="19" t="s">
        <v>200</v>
      </c>
      <c r="G3" s="19" t="s">
        <v>198</v>
      </c>
      <c r="H3" s="20" t="s">
        <v>28</v>
      </c>
      <c r="I3" s="21">
        <v>85.2</v>
      </c>
      <c r="J3" s="22">
        <v>1.5</v>
      </c>
      <c r="K3" s="23">
        <f>Twirling_Duet_DuetDance_Junior_Upper_Level[[#This Row],[Judge 1
Tamara Beljak]]-J3</f>
        <v>83.7</v>
      </c>
      <c r="L3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Row],[Category]],Twirling_Duet_DuetDance_Junior_Upper_Level[J1 TOTAL],"&gt;"&amp;Twirling_Duet_DuetDance_Junior_Upper_Level[[#This Row],[J1 TOTAL]])+1</f>
        <v>2</v>
      </c>
      <c r="M3" s="21"/>
      <c r="N3" s="22"/>
      <c r="O3" s="23">
        <f>Twirling_Duet_DuetDance_Junior_Upper_Level[[#This Row],[Judge 2
Tihomir Bendelja]]-Twirling_Duet_DuetDance_Junior_Upper_Level[[#This Row],[J2 (-)]]</f>
        <v>0</v>
      </c>
      <c r="P3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Row],[Category]],Twirling_Duet_DuetDance_Junior_Upper_Level[J2 TOTAL],"&gt;"&amp;Twirling_Duet_DuetDance_Junior_Upper_Level[[#This Row],[J2 TOTAL]])+1</f>
        <v>1</v>
      </c>
      <c r="Q3" s="21"/>
      <c r="R3" s="22"/>
      <c r="S3" s="23">
        <f>Twirling_Duet_DuetDance_Junior_Upper_Level[[#This Row],[Judge 3
Tea Softić]]-R3</f>
        <v>0</v>
      </c>
      <c r="T3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Row],[Category]],Twirling_Duet_DuetDance_Junior_Upper_Level[J3 TOTAL],"&gt;"&amp;Twirling_Duet_DuetDance_Junior_Upper_Level[[#This Row],[J3 TOTAL]])+1</f>
        <v>1</v>
      </c>
      <c r="U3" s="21">
        <v>85.4</v>
      </c>
      <c r="V3" s="22">
        <v>1.5</v>
      </c>
      <c r="W3" s="23">
        <f>Twirling_Duet_DuetDance_Junior_Upper_Level[[#This Row],[Judge 4
Bernard Barač]]-V3</f>
        <v>83.9</v>
      </c>
      <c r="X3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Row],[Category]],Twirling_Duet_DuetDance_Junior_Upper_Level[J4 TOTAL],"&gt;"&amp;Twirling_Duet_DuetDance_Junior_Upper_Level[[#This Row],[J4 TOTAL]])+1</f>
        <v>2</v>
      </c>
      <c r="Y3" s="21"/>
      <c r="Z3" s="22"/>
      <c r="AA3" s="23">
        <f>Twirling_Duet_DuetDance_Junior_Upper_Level[[#This Row],[Judge 5
Barbara Novina]]-Y3</f>
        <v>0</v>
      </c>
      <c r="AB3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Row],[Category]],Twirling_Duet_DuetDance_Junior_Upper_Level[J5 TOTAL],"&gt;"&amp;Twirling_Duet_DuetDance_Junior_Upper_Level[[#This Row],[J5 TOTAL]])+1</f>
        <v>1</v>
      </c>
      <c r="AC3" s="25">
        <f>SUM(Twirling_Duet_DuetDance_Junior_Upper_Level[[#This Row],[J1 TOTAL]]+Twirling_Duet_DuetDance_Junior_Upper_Level[[#This Row],[J2 TOTAL]]+Twirling_Duet_DuetDance_Junior_Upper_Level[[#This Row],[J3 TOTAL]]+Twirling_Duet_DuetDance_Junior_Upper_Level[[#This Row],[J4 TOTAL]])+Twirling_Duet_DuetDance_Junior_Upper_Level[[#This Row],[J5 TOTAL]]</f>
        <v>167.60000000000002</v>
      </c>
      <c r="AD3" s="25"/>
      <c r="AE3" s="25"/>
      <c r="AF3" s="25">
        <f>SUM(Twirling_Duet_DuetDance_Junior_Upper_Level[[#This Row],[Total]]-Twirling_Duet_DuetDance_Junior_Upper_Level[[#This Row],[Low]]-Twirling_Duet_DuetDance_Junior_Upper_Level[[#This Row],[High]])</f>
        <v>167.60000000000002</v>
      </c>
      <c r="AG3" s="25">
        <f>AVERAGE(I3,M3,Q3,U3,Y3)</f>
        <v>85.300000000000011</v>
      </c>
      <c r="AH3" s="26">
        <f>Twirling_Duet_DuetDance_Junior_Upper_Level[[#This Row],[Final Total]]</f>
        <v>167.60000000000002</v>
      </c>
      <c r="AI3" s="28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Row],[Category]],Twirling_Duet_DuetDance_Junior_Upper_Level[FINAL SCORE],"&gt;"&amp;Twirling_Duet_DuetDance_Junior_Upper_Level[[#This Row],[FINAL SCORE]])+1</f>
        <v>2</v>
      </c>
      <c r="AJ3" s="18" t="s">
        <v>190</v>
      </c>
    </row>
    <row r="4" spans="1:55" ht="15.6" x14ac:dyDescent="0.3">
      <c r="A4" s="18">
        <v>159</v>
      </c>
      <c r="B4" s="19">
        <v>1</v>
      </c>
      <c r="C4" s="19" t="s">
        <v>116</v>
      </c>
      <c r="D4" s="19" t="s">
        <v>27</v>
      </c>
      <c r="E4" s="19" t="s">
        <v>142</v>
      </c>
      <c r="F4" s="19" t="s">
        <v>201</v>
      </c>
      <c r="G4" s="19" t="s">
        <v>67</v>
      </c>
      <c r="H4" s="20" t="s">
        <v>25</v>
      </c>
      <c r="I4" s="21">
        <v>85.3</v>
      </c>
      <c r="J4" s="22">
        <v>2</v>
      </c>
      <c r="K4" s="23">
        <f>Twirling_Duet_DuetDance_Junior_Upper_Level[[#This Row],[Judge 1
Tamara Beljak]]-J4</f>
        <v>83.3</v>
      </c>
      <c r="L4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Row],[Category]],Twirling_Duet_DuetDance_Junior_Upper_Level[J1 TOTAL],"&gt;"&amp;Twirling_Duet_DuetDance_Junior_Upper_Level[[#This Row],[J1 TOTAL]])+1</f>
        <v>3</v>
      </c>
      <c r="M4" s="21"/>
      <c r="N4" s="22"/>
      <c r="O4" s="23">
        <f>Twirling_Duet_DuetDance_Junior_Upper_Level[[#This Row],[Judge 2
Tihomir Bendelja]]-Twirling_Duet_DuetDance_Junior_Upper_Level[[#This Row],[J2 (-)]]</f>
        <v>0</v>
      </c>
      <c r="P4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Row],[Category]],Twirling_Duet_DuetDance_Junior_Upper_Level[J2 TOTAL],"&gt;"&amp;Twirling_Duet_DuetDance_Junior_Upper_Level[[#This Row],[J2 TOTAL]])+1</f>
        <v>1</v>
      </c>
      <c r="Q4" s="21"/>
      <c r="R4" s="22"/>
      <c r="S4" s="23">
        <f>Twirling_Duet_DuetDance_Junior_Upper_Level[[#This Row],[Judge 3
Tea Softić]]-R4</f>
        <v>0</v>
      </c>
      <c r="T4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Row],[Category]],Twirling_Duet_DuetDance_Junior_Upper_Level[J3 TOTAL],"&gt;"&amp;Twirling_Duet_DuetDance_Junior_Upper_Level[[#This Row],[J3 TOTAL]])+1</f>
        <v>1</v>
      </c>
      <c r="U4" s="21">
        <v>85.1</v>
      </c>
      <c r="V4" s="22">
        <v>2</v>
      </c>
      <c r="W4" s="23">
        <f>Twirling_Duet_DuetDance_Junior_Upper_Level[[#This Row],[Judge 4
Bernard Barač]]-V4</f>
        <v>83.1</v>
      </c>
      <c r="X4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Row],[Category]],Twirling_Duet_DuetDance_Junior_Upper_Level[J4 TOTAL],"&gt;"&amp;Twirling_Duet_DuetDance_Junior_Upper_Level[[#This Row],[J4 TOTAL]])+1</f>
        <v>3</v>
      </c>
      <c r="Y4" s="21"/>
      <c r="Z4" s="22"/>
      <c r="AA4" s="23">
        <f>Twirling_Duet_DuetDance_Junior_Upper_Level[[#This Row],[Judge 5
Barbara Novina]]-Y4</f>
        <v>0</v>
      </c>
      <c r="AB4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Row],[Category]],Twirling_Duet_DuetDance_Junior_Upper_Level[J5 TOTAL],"&gt;"&amp;Twirling_Duet_DuetDance_Junior_Upper_Level[[#This Row],[J5 TOTAL]])+1</f>
        <v>1</v>
      </c>
      <c r="AC4" s="25">
        <f>SUM(Twirling_Duet_DuetDance_Junior_Upper_Level[[#This Row],[J1 TOTAL]]+Twirling_Duet_DuetDance_Junior_Upper_Level[[#This Row],[J2 TOTAL]]+Twirling_Duet_DuetDance_Junior_Upper_Level[[#This Row],[J3 TOTAL]]+Twirling_Duet_DuetDance_Junior_Upper_Level[[#This Row],[J4 TOTAL]])+Twirling_Duet_DuetDance_Junior_Upper_Level[[#This Row],[J5 TOTAL]]</f>
        <v>166.39999999999998</v>
      </c>
      <c r="AD4" s="25"/>
      <c r="AE4" s="25"/>
      <c r="AF4" s="25">
        <f>SUM(Twirling_Duet_DuetDance_Junior_Upper_Level[[#This Row],[Total]]-Twirling_Duet_DuetDance_Junior_Upper_Level[[#This Row],[Low]]-Twirling_Duet_DuetDance_Junior_Upper_Level[[#This Row],[High]])</f>
        <v>166.39999999999998</v>
      </c>
      <c r="AG4" s="25">
        <f>AVERAGE(I4,M4,Q4,U4,Y4)</f>
        <v>85.199999999999989</v>
      </c>
      <c r="AH4" s="26">
        <f>Twirling_Duet_DuetDance_Junior_Upper_Level[[#This Row],[Final Total]]</f>
        <v>166.39999999999998</v>
      </c>
      <c r="AI4" s="28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Row],[Category]],Twirling_Duet_DuetDance_Junior_Upper_Level[FINAL SCORE],"&gt;"&amp;Twirling_Duet_DuetDance_Junior_Upper_Level[[#This Row],[FINAL SCORE]])+1</f>
        <v>3</v>
      </c>
      <c r="AJ4" s="18" t="s">
        <v>190</v>
      </c>
    </row>
    <row r="5" spans="1:55" ht="15.6" x14ac:dyDescent="0.3">
      <c r="A5" s="18">
        <v>153</v>
      </c>
      <c r="B5" s="19">
        <v>1</v>
      </c>
      <c r="C5" s="19" t="s">
        <v>116</v>
      </c>
      <c r="D5" s="19" t="s">
        <v>27</v>
      </c>
      <c r="E5" s="19" t="s">
        <v>142</v>
      </c>
      <c r="F5" s="19" t="s">
        <v>197</v>
      </c>
      <c r="G5" s="19" t="s">
        <v>198</v>
      </c>
      <c r="H5" s="20" t="s">
        <v>28</v>
      </c>
      <c r="I5" s="21">
        <v>81.2</v>
      </c>
      <c r="J5" s="22">
        <v>4</v>
      </c>
      <c r="K5" s="23">
        <f>Twirling_Duet_DuetDance_Junior_Upper_Level[[#This Row],[Judge 1
Tamara Beljak]]-J5</f>
        <v>77.2</v>
      </c>
      <c r="L5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Row],[Category]],Twirling_Duet_DuetDance_Junior_Upper_Level[J1 TOTAL],"&gt;"&amp;Twirling_Duet_DuetDance_Junior_Upper_Level[[#This Row],[J1 TOTAL]])+1</f>
        <v>4</v>
      </c>
      <c r="M5" s="21"/>
      <c r="N5" s="22"/>
      <c r="O5" s="23">
        <f>Twirling_Duet_DuetDance_Junior_Upper_Level[[#This Row],[Judge 2
Tihomir Bendelja]]-Twirling_Duet_DuetDance_Junior_Upper_Level[[#This Row],[J2 (-)]]</f>
        <v>0</v>
      </c>
      <c r="P5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Row],[Category]],Twirling_Duet_DuetDance_Junior_Upper_Level[J2 TOTAL],"&gt;"&amp;Twirling_Duet_DuetDance_Junior_Upper_Level[[#This Row],[J2 TOTAL]])+1</f>
        <v>1</v>
      </c>
      <c r="Q5" s="21"/>
      <c r="R5" s="22"/>
      <c r="S5" s="23">
        <f>Twirling_Duet_DuetDance_Junior_Upper_Level[[#This Row],[Judge 3
Tea Softić]]-R5</f>
        <v>0</v>
      </c>
      <c r="T5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Row],[Category]],Twirling_Duet_DuetDance_Junior_Upper_Level[J3 TOTAL],"&gt;"&amp;Twirling_Duet_DuetDance_Junior_Upper_Level[[#This Row],[J3 TOTAL]])+1</f>
        <v>1</v>
      </c>
      <c r="U5" s="21">
        <v>83.2</v>
      </c>
      <c r="V5" s="22">
        <v>4</v>
      </c>
      <c r="W5" s="23">
        <f>Twirling_Duet_DuetDance_Junior_Upper_Level[[#This Row],[Judge 4
Bernard Barač]]-V5</f>
        <v>79.2</v>
      </c>
      <c r="X5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Row],[Category]],Twirling_Duet_DuetDance_Junior_Upper_Level[J4 TOTAL],"&gt;"&amp;Twirling_Duet_DuetDance_Junior_Upper_Level[[#This Row],[J4 TOTAL]])+1</f>
        <v>4</v>
      </c>
      <c r="Y5" s="21"/>
      <c r="Z5" s="22"/>
      <c r="AA5" s="23">
        <f>Twirling_Duet_DuetDance_Junior_Upper_Level[[#This Row],[Judge 5
Barbara Novina]]-Y5</f>
        <v>0</v>
      </c>
      <c r="AB5" s="24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Row],[Category]],Twirling_Duet_DuetDance_Junior_Upper_Level[J5 TOTAL],"&gt;"&amp;Twirling_Duet_DuetDance_Junior_Upper_Level[[#This Row],[J5 TOTAL]])+1</f>
        <v>1</v>
      </c>
      <c r="AC5" s="25">
        <f>SUM(Twirling_Duet_DuetDance_Junior_Upper_Level[[#This Row],[J1 TOTAL]]+Twirling_Duet_DuetDance_Junior_Upper_Level[[#This Row],[J2 TOTAL]]+Twirling_Duet_DuetDance_Junior_Upper_Level[[#This Row],[J3 TOTAL]]+Twirling_Duet_DuetDance_Junior_Upper_Level[[#This Row],[J4 TOTAL]])+Twirling_Duet_DuetDance_Junior_Upper_Level[[#This Row],[J5 TOTAL]]</f>
        <v>156.4</v>
      </c>
      <c r="AD5" s="25"/>
      <c r="AE5" s="25"/>
      <c r="AF5" s="25">
        <f>SUM(Twirling_Duet_DuetDance_Junior_Upper_Level[[#This Row],[Total]]-Twirling_Duet_DuetDance_Junior_Upper_Level[[#This Row],[Low]]-Twirling_Duet_DuetDance_Junior_Upper_Level[[#This Row],[High]])</f>
        <v>156.4</v>
      </c>
      <c r="AG5" s="25">
        <f>AVERAGE(I5,M5,Q5,U5,Y5)</f>
        <v>82.2</v>
      </c>
      <c r="AH5" s="26">
        <f>Twirling_Duet_DuetDance_Junior_Upper_Level[[#This Row],[Final Total]]</f>
        <v>156.4</v>
      </c>
      <c r="AI5" s="27">
        <f>COUNTIFS(Twirling_Duet_DuetDance_Junior_Upper_Level[Age
Division],Twirling_Duet_DuetDance_Junior_Upper_Level[[#This Row],[Age
Division]],Twirling_Duet_DuetDance_Junior_Upper_Level[Category],Twirling_Duet_DuetDance_Junior_Upper_Level[[#This Row],[Category]],Twirling_Duet_DuetDance_Junior_Upper_Level[FINAL SCORE],"&gt;"&amp;Twirling_Duet_DuetDance_Junior_Upper_Level[[#This Row],[FINAL SCORE]])+1</f>
        <v>4</v>
      </c>
      <c r="AJ5" s="18" t="s">
        <v>190</v>
      </c>
    </row>
  </sheetData>
  <sheetProtection algorithmName="SHA-512" hashValue="t5y9dRsTfLXMYFaCrsiCGNd00Vw+LKPnktmSRKRMefjNjCJ9RZM8G++RPXCf5HEi+OhkU/hBYzfTz3FZ7YJu8g==" saltValue="AYqYdL5/mBj/ia8jOd+o/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6D28E-B7F6-45FD-A726-3D1B3538E591}">
  <sheetPr codeName="Sheet28"/>
  <dimension ref="A1:BC4"/>
  <sheetViews>
    <sheetView zoomScale="80" zoomScaleNormal="80" workbookViewId="0">
      <pane xSplit="8" topLeftCell="M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0.44140625" style="29" bestFit="1" customWidth="1"/>
    <col min="4" max="4" width="9.6640625" style="30" bestFit="1" customWidth="1"/>
    <col min="5" max="5" width="9.5546875" style="30" bestFit="1" customWidth="1"/>
    <col min="6" max="6" width="21.33203125" style="20" bestFit="1" customWidth="1"/>
    <col min="7" max="7" width="39.6640625" style="20" customWidth="1"/>
    <col min="8" max="8" width="9" style="20" customWidth="1"/>
    <col min="9" max="12" width="9.109375" style="20" hidden="1" customWidth="1"/>
    <col min="13" max="20" width="9.109375" style="20" customWidth="1"/>
    <col min="21" max="24" width="9.109375" style="20" hidden="1" customWidth="1"/>
    <col min="25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158</v>
      </c>
      <c r="B2" s="19">
        <v>2</v>
      </c>
      <c r="C2" s="19" t="s">
        <v>116</v>
      </c>
      <c r="D2" s="19" t="s">
        <v>29</v>
      </c>
      <c r="E2" s="19" t="s">
        <v>141</v>
      </c>
      <c r="F2" s="19" t="s">
        <v>203</v>
      </c>
      <c r="G2" s="19" t="s">
        <v>67</v>
      </c>
      <c r="H2" s="20" t="s">
        <v>25</v>
      </c>
      <c r="I2" s="21"/>
      <c r="J2" s="22"/>
      <c r="K2" s="23">
        <f>Twirling_Duet_DuetDance_Senior_Lower_Level[[#This Row],[Judge 1
Tamara Beljak]]-J2</f>
        <v>0</v>
      </c>
      <c r="L2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Row],[Category]],Twirling_Duet_DuetDance_Senior_Lower_Level[J1 TOTAL],"&gt;"&amp;Twirling_Duet_DuetDance_Senior_Lower_Level[[#This Row],[J1 TOTAL]])+1</f>
        <v>1</v>
      </c>
      <c r="M2" s="21">
        <v>73.900000000000006</v>
      </c>
      <c r="N2" s="22">
        <v>2.5</v>
      </c>
      <c r="O2" s="23">
        <f>Twirling_Duet_DuetDance_Senior_Lower_Level[[#This Row],[Judge 2
Tihomir Bendelja]]-Twirling_Duet_DuetDance_Senior_Lower_Level[[#This Row],[J2 (-)]]</f>
        <v>71.400000000000006</v>
      </c>
      <c r="P2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Row],[Category]],Twirling_Duet_DuetDance_Senior_Lower_Level[J2 TOTAL],"&gt;"&amp;Twirling_Duet_DuetDance_Senior_Lower_Level[[#This Row],[J2 TOTAL]])+1</f>
        <v>1</v>
      </c>
      <c r="Q2" s="21">
        <v>72.5</v>
      </c>
      <c r="R2" s="22">
        <v>2.5</v>
      </c>
      <c r="S2" s="23">
        <f>Twirling_Duet_DuetDance_Senior_Lower_Level[[#This Row],[Judge 3
Tea Softić]]-R2</f>
        <v>70</v>
      </c>
      <c r="T2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Row],[Category]],Twirling_Duet_DuetDance_Senior_Lower_Level[J3 TOTAL],"&gt;"&amp;Twirling_Duet_DuetDance_Senior_Lower_Level[[#This Row],[J3 TOTAL]])+1</f>
        <v>1</v>
      </c>
      <c r="U2" s="21"/>
      <c r="V2" s="22"/>
      <c r="W2" s="23">
        <f>Twirling_Duet_DuetDance_Senior_Lower_Level[[#This Row],[Judge 4
Bernard Barač]]-V2</f>
        <v>0</v>
      </c>
      <c r="X2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Row],[Category]],Twirling_Duet_DuetDance_Senior_Lower_Level[J4 TOTAL],"&gt;"&amp;Twirling_Duet_DuetDance_Senior_Lower_Level[[#This Row],[J4 TOTAL]])+1</f>
        <v>1</v>
      </c>
      <c r="Y2" s="21">
        <v>69.900000000000006</v>
      </c>
      <c r="Z2" s="22">
        <v>2.5</v>
      </c>
      <c r="AA2" s="23">
        <f>Twirling_Duet_DuetDance_Senior_Lower_Level[[#This Row],[Judge 5
Barbara Novina]]-Z2</f>
        <v>67.400000000000006</v>
      </c>
      <c r="AB2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Row],[Category]],Twirling_Duet_DuetDance_Senior_Lower_Level[J5 TOTAL],"&gt;"&amp;Twirling_Duet_DuetDance_Senior_Lower_Level[[#This Row],[J5 TOTAL]])+1</f>
        <v>1</v>
      </c>
      <c r="AC2" s="25">
        <f>SUM(Twirling_Duet_DuetDance_Senior_Lower_Level[[#This Row],[J1 TOTAL]]+Twirling_Duet_DuetDance_Senior_Lower_Level[[#This Row],[J2 TOTAL]]+Twirling_Duet_DuetDance_Senior_Lower_Level[[#This Row],[J3 TOTAL]]+Twirling_Duet_DuetDance_Senior_Lower_Level[[#This Row],[J4 TOTAL]])+Twirling_Duet_DuetDance_Senior_Lower_Level[[#This Row],[J5 TOTAL]]</f>
        <v>208.8</v>
      </c>
      <c r="AD2" s="25"/>
      <c r="AE2" s="25"/>
      <c r="AF2" s="25">
        <f>SUM(Twirling_Duet_DuetDance_Senior_Lower_Level[[#This Row],[Total]]-Twirling_Duet_DuetDance_Senior_Lower_Level[[#This Row],[Low]]-Twirling_Duet_DuetDance_Senior_Lower_Level[[#This Row],[High]])</f>
        <v>208.8</v>
      </c>
      <c r="AG2" s="25">
        <f>AVERAGE(I2,M2,Q2,U2,Y2)</f>
        <v>72.100000000000009</v>
      </c>
      <c r="AH2" s="26">
        <f>Twirling_Duet_DuetDance_Senior_Lower_Level[[#This Row],[Final Total]]</f>
        <v>208.8</v>
      </c>
      <c r="AI2" s="28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Row],[Category]],Twirling_Duet_DuetDance_Senior_Lower_Level[FINAL SCORE],"&gt;"&amp;Twirling_Duet_DuetDance_Senior_Lower_Level[[#This Row],[FINAL SCORE]])+1</f>
        <v>1</v>
      </c>
      <c r="AJ2" s="18" t="s">
        <v>190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160</v>
      </c>
      <c r="B3" s="19">
        <v>2</v>
      </c>
      <c r="C3" s="19" t="s">
        <v>116</v>
      </c>
      <c r="D3" s="19" t="s">
        <v>29</v>
      </c>
      <c r="E3" s="19" t="s">
        <v>141</v>
      </c>
      <c r="F3" s="19" t="s">
        <v>204</v>
      </c>
      <c r="G3" s="19" t="s">
        <v>31</v>
      </c>
      <c r="H3" s="20" t="s">
        <v>25</v>
      </c>
      <c r="I3" s="21"/>
      <c r="J3" s="22"/>
      <c r="K3" s="23">
        <f>Twirling_Duet_DuetDance_Senior_Lower_Level[[#This Row],[Judge 1
Tamara Beljak]]-J3</f>
        <v>0</v>
      </c>
      <c r="L3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Row],[Category]],Twirling_Duet_DuetDance_Senior_Lower_Level[J1 TOTAL],"&gt;"&amp;Twirling_Duet_DuetDance_Senior_Lower_Level[[#This Row],[J1 TOTAL]])+1</f>
        <v>1</v>
      </c>
      <c r="M3" s="21">
        <v>69.099999999999994</v>
      </c>
      <c r="N3" s="22">
        <v>1</v>
      </c>
      <c r="O3" s="23">
        <f>Twirling_Duet_DuetDance_Senior_Lower_Level[[#This Row],[Judge 2
Tihomir Bendelja]]-Twirling_Duet_DuetDance_Senior_Lower_Level[[#This Row],[J2 (-)]]</f>
        <v>68.099999999999994</v>
      </c>
      <c r="P3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Row],[Category]],Twirling_Duet_DuetDance_Senior_Lower_Level[J2 TOTAL],"&gt;"&amp;Twirling_Duet_DuetDance_Senior_Lower_Level[[#This Row],[J2 TOTAL]])+1</f>
        <v>3</v>
      </c>
      <c r="Q3" s="21">
        <v>70.400000000000006</v>
      </c>
      <c r="R3" s="22">
        <v>1</v>
      </c>
      <c r="S3" s="23">
        <f>Twirling_Duet_DuetDance_Senior_Lower_Level[[#This Row],[Judge 3
Tea Softić]]-R3</f>
        <v>69.400000000000006</v>
      </c>
      <c r="T3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Row],[Category]],Twirling_Duet_DuetDance_Senior_Lower_Level[J3 TOTAL],"&gt;"&amp;Twirling_Duet_DuetDance_Senior_Lower_Level[[#This Row],[J3 TOTAL]])+1</f>
        <v>3</v>
      </c>
      <c r="U3" s="21"/>
      <c r="V3" s="22"/>
      <c r="W3" s="23">
        <f>Twirling_Duet_DuetDance_Senior_Lower_Level[[#This Row],[Judge 4
Bernard Barač]]-V3</f>
        <v>0</v>
      </c>
      <c r="X3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Row],[Category]],Twirling_Duet_DuetDance_Senior_Lower_Level[J4 TOTAL],"&gt;"&amp;Twirling_Duet_DuetDance_Senior_Lower_Level[[#This Row],[J4 TOTAL]])+1</f>
        <v>1</v>
      </c>
      <c r="Y3" s="21">
        <v>68</v>
      </c>
      <c r="Z3" s="22">
        <v>1</v>
      </c>
      <c r="AA3" s="23">
        <f>Twirling_Duet_DuetDance_Senior_Lower_Level[[#This Row],[Judge 5
Barbara Novina]]-Z3</f>
        <v>67</v>
      </c>
      <c r="AB3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Row],[Category]],Twirling_Duet_DuetDance_Senior_Lower_Level[J5 TOTAL],"&gt;"&amp;Twirling_Duet_DuetDance_Senior_Lower_Level[[#This Row],[J5 TOTAL]])+1</f>
        <v>2</v>
      </c>
      <c r="AC3" s="25">
        <f>SUM(Twirling_Duet_DuetDance_Senior_Lower_Level[[#This Row],[J1 TOTAL]]+Twirling_Duet_DuetDance_Senior_Lower_Level[[#This Row],[J2 TOTAL]]+Twirling_Duet_DuetDance_Senior_Lower_Level[[#This Row],[J3 TOTAL]]+Twirling_Duet_DuetDance_Senior_Lower_Level[[#This Row],[J4 TOTAL]])+Twirling_Duet_DuetDance_Senior_Lower_Level[[#This Row],[J5 TOTAL]]</f>
        <v>204.5</v>
      </c>
      <c r="AD3" s="25"/>
      <c r="AE3" s="25"/>
      <c r="AF3" s="25">
        <f>SUM(Twirling_Duet_DuetDance_Senior_Lower_Level[[#This Row],[Total]]-Twirling_Duet_DuetDance_Senior_Lower_Level[[#This Row],[Low]]-Twirling_Duet_DuetDance_Senior_Lower_Level[[#This Row],[High]])</f>
        <v>204.5</v>
      </c>
      <c r="AG3" s="25">
        <f>AVERAGE(I3,M3,Q3,U3,Y3)</f>
        <v>69.166666666666671</v>
      </c>
      <c r="AH3" s="26">
        <f>Twirling_Duet_DuetDance_Senior_Lower_Level[[#This Row],[Final Total]]</f>
        <v>204.5</v>
      </c>
      <c r="AI3" s="28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Row],[Category]],Twirling_Duet_DuetDance_Senior_Lower_Level[FINAL SCORE],"&gt;"&amp;Twirling_Duet_DuetDance_Senior_Lower_Level[[#This Row],[FINAL SCORE]])+1</f>
        <v>2</v>
      </c>
      <c r="AJ3" s="18" t="s">
        <v>190</v>
      </c>
    </row>
    <row r="4" spans="1:55" ht="15.6" x14ac:dyDescent="0.3">
      <c r="A4" s="18">
        <v>156</v>
      </c>
      <c r="B4" s="19">
        <v>2</v>
      </c>
      <c r="C4" s="19" t="s">
        <v>116</v>
      </c>
      <c r="D4" s="19" t="s">
        <v>29</v>
      </c>
      <c r="E4" s="19" t="s">
        <v>141</v>
      </c>
      <c r="F4" s="19" t="s">
        <v>202</v>
      </c>
      <c r="G4" s="19" t="s">
        <v>73</v>
      </c>
      <c r="H4" s="20" t="s">
        <v>28</v>
      </c>
      <c r="I4" s="21"/>
      <c r="J4" s="22"/>
      <c r="K4" s="23">
        <f>Twirling_Duet_DuetDance_Senior_Lower_Level[[#This Row],[Judge 1
Tamara Beljak]]-J4</f>
        <v>0</v>
      </c>
      <c r="L4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Row],[Category]],Twirling_Duet_DuetDance_Senior_Lower_Level[J1 TOTAL],"&gt;"&amp;Twirling_Duet_DuetDance_Senior_Lower_Level[[#This Row],[J1 TOTAL]])+1</f>
        <v>1</v>
      </c>
      <c r="M4" s="21">
        <v>70.7</v>
      </c>
      <c r="N4" s="22">
        <v>2</v>
      </c>
      <c r="O4" s="23">
        <f>Twirling_Duet_DuetDance_Senior_Lower_Level[[#This Row],[Judge 2
Tihomir Bendelja]]-Twirling_Duet_DuetDance_Senior_Lower_Level[[#This Row],[J2 (-)]]</f>
        <v>68.7</v>
      </c>
      <c r="P4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Row],[Category]],Twirling_Duet_DuetDance_Senior_Lower_Level[J2 TOTAL],"&gt;"&amp;Twirling_Duet_DuetDance_Senior_Lower_Level[[#This Row],[J2 TOTAL]])+1</f>
        <v>2</v>
      </c>
      <c r="Q4" s="21">
        <v>71.7</v>
      </c>
      <c r="R4" s="22">
        <v>2</v>
      </c>
      <c r="S4" s="23">
        <f>Twirling_Duet_DuetDance_Senior_Lower_Level[[#This Row],[Judge 3
Tea Softić]]-R4</f>
        <v>69.7</v>
      </c>
      <c r="T4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Row],[Category]],Twirling_Duet_DuetDance_Senior_Lower_Level[J3 TOTAL],"&gt;"&amp;Twirling_Duet_DuetDance_Senior_Lower_Level[[#This Row],[J3 TOTAL]])+1</f>
        <v>2</v>
      </c>
      <c r="U4" s="21"/>
      <c r="V4" s="22"/>
      <c r="W4" s="23">
        <f>Twirling_Duet_DuetDance_Senior_Lower_Level[[#This Row],[Judge 4
Bernard Barač]]-V4</f>
        <v>0</v>
      </c>
      <c r="X4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Row],[Category]],Twirling_Duet_DuetDance_Senior_Lower_Level[J4 TOTAL],"&gt;"&amp;Twirling_Duet_DuetDance_Senior_Lower_Level[[#This Row],[J4 TOTAL]])+1</f>
        <v>1</v>
      </c>
      <c r="Y4" s="21">
        <v>66.5</v>
      </c>
      <c r="Z4" s="22">
        <v>2</v>
      </c>
      <c r="AA4" s="23">
        <f>Twirling_Duet_DuetDance_Senior_Lower_Level[[#This Row],[Judge 5
Barbara Novina]]-Z4</f>
        <v>64.5</v>
      </c>
      <c r="AB4" s="24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Row],[Category]],Twirling_Duet_DuetDance_Senior_Lower_Level[J5 TOTAL],"&gt;"&amp;Twirling_Duet_DuetDance_Senior_Lower_Level[[#This Row],[J5 TOTAL]])+1</f>
        <v>3</v>
      </c>
      <c r="AC4" s="25">
        <f>SUM(Twirling_Duet_DuetDance_Senior_Lower_Level[[#This Row],[J1 TOTAL]]+Twirling_Duet_DuetDance_Senior_Lower_Level[[#This Row],[J2 TOTAL]]+Twirling_Duet_DuetDance_Senior_Lower_Level[[#This Row],[J3 TOTAL]]+Twirling_Duet_DuetDance_Senior_Lower_Level[[#This Row],[J4 TOTAL]])+Twirling_Duet_DuetDance_Senior_Lower_Level[[#This Row],[J5 TOTAL]]</f>
        <v>202.9</v>
      </c>
      <c r="AD4" s="25"/>
      <c r="AE4" s="25"/>
      <c r="AF4" s="25">
        <f>SUM(Twirling_Duet_DuetDance_Senior_Lower_Level[[#This Row],[Total]]-Twirling_Duet_DuetDance_Senior_Lower_Level[[#This Row],[Low]]-Twirling_Duet_DuetDance_Senior_Lower_Level[[#This Row],[High]])</f>
        <v>202.9</v>
      </c>
      <c r="AG4" s="25">
        <f>AVERAGE(I4,M4,Q4,U4,Y4)</f>
        <v>69.63333333333334</v>
      </c>
      <c r="AH4" s="26">
        <f>Twirling_Duet_DuetDance_Senior_Lower_Level[[#This Row],[Final Total]]</f>
        <v>202.9</v>
      </c>
      <c r="AI4" s="27">
        <f>COUNTIFS(Twirling_Duet_DuetDance_Senior_Lower_Level[Age
Division],Twirling_Duet_DuetDance_Senior_Lower_Level[[#This Row],[Age
Division]],Twirling_Duet_DuetDance_Senior_Lower_Level[Category],Twirling_Duet_DuetDance_Senior_Lower_Level[[#This Row],[Category]],Twirling_Duet_DuetDance_Senior_Lower_Level[FINAL SCORE],"&gt;"&amp;Twirling_Duet_DuetDance_Senior_Lower_Level[[#This Row],[FINAL SCORE]])+1</f>
        <v>3</v>
      </c>
      <c r="AJ4" s="18" t="s">
        <v>190</v>
      </c>
    </row>
  </sheetData>
  <sheetProtection algorithmName="SHA-512" hashValue="Vba9gtkE+0h2qTlW6ZBbp69ThcEx7wkpGbjleuZ7Dv3XOXYnLmQ+aaZqPd5Dt7cCXKNuJcq1VUxu4/cbfcPr4A==" saltValue="q4HoKnIwJfXxc6PTQuUMj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95355-8AAD-499E-B935-9AA52E3BD0D5}">
  <sheetPr codeName="Sheet29"/>
  <dimension ref="A1:BC2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33203125" style="29" bestFit="1" customWidth="1"/>
    <col min="4" max="4" width="9.6640625" style="30" bestFit="1" customWidth="1"/>
    <col min="5" max="5" width="10.21875" style="30" bestFit="1" customWidth="1"/>
    <col min="6" max="6" width="24.44140625" style="20" hidden="1" customWidth="1"/>
    <col min="7" max="7" width="33.77734375" style="20" bestFit="1" customWidth="1"/>
    <col min="8" max="8" width="9.6640625" style="20" bestFit="1" customWidth="1"/>
    <col min="9" max="12" width="9.109375" style="20" customWidth="1"/>
    <col min="13" max="16" width="9.109375" style="20" hidden="1" customWidth="1"/>
    <col min="17" max="28" width="9.109375" style="20" customWidth="1"/>
    <col min="29" max="29" width="9.109375" style="16" customWidth="1"/>
    <col min="30" max="33" width="9.6640625" style="20" customWidth="1"/>
    <col min="34" max="34" width="7.5546875" style="20" customWidth="1"/>
    <col min="35" max="35" width="8.44140625" style="20" customWidth="1"/>
    <col min="36" max="36" width="9.109375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161</v>
      </c>
      <c r="B2" s="19"/>
      <c r="C2" s="19" t="s">
        <v>117</v>
      </c>
      <c r="D2" s="19" t="s">
        <v>30</v>
      </c>
      <c r="E2" s="19" t="s">
        <v>100</v>
      </c>
      <c r="F2" s="19" t="s">
        <v>405</v>
      </c>
      <c r="G2" s="19" t="s">
        <v>45</v>
      </c>
      <c r="H2" s="20" t="s">
        <v>25</v>
      </c>
      <c r="I2" s="21">
        <v>60</v>
      </c>
      <c r="J2" s="22">
        <v>1</v>
      </c>
      <c r="K2" s="23">
        <f>Twirling_Group_TwirlingTeam_Children[[#This Row],[Judge 1
Tamara Beljak]]-J2</f>
        <v>59</v>
      </c>
      <c r="L2" s="24">
        <f>COUNTIFS(Twirling_Group_TwirlingTeam_Children[Age
Division],Twirling_Group_TwirlingTeam_Children[[#This Row],[Age
Division]],Twirling_Group_TwirlingTeam_Children[Category],Twirling_Group_TwirlingTeam_Children[[#This Row],[Category]],Twirling_Group_TwirlingTeam_Children[J1 TOTAL],"&gt;"&amp;Twirling_Group_TwirlingTeam_Children[[#This Row],[J1 TOTAL]])+1</f>
        <v>1</v>
      </c>
      <c r="M2" s="21"/>
      <c r="N2" s="22"/>
      <c r="O2" s="23">
        <f>Twirling_Group_TwirlingTeam_Children[[#This Row],[Judge 2
Tihomir Bendelja]]-Twirling_Group_TwirlingTeam_Children[[#This Row],[J2 (-)]]</f>
        <v>0</v>
      </c>
      <c r="P2" s="24">
        <f>COUNTIFS(Twirling_Group_TwirlingTeam_Children[Age
Division],Twirling_Group_TwirlingTeam_Children[[#This Row],[Age
Division]],Twirling_Group_TwirlingTeam_Children[Category],Twirling_Group_TwirlingTeam_Children[[#This Row],[Category]],Twirling_Group_TwirlingTeam_Children[J2 TOTAL],"&gt;"&amp;Twirling_Group_TwirlingTeam_Children[[#This Row],[J2 TOTAL]])+1</f>
        <v>1</v>
      </c>
      <c r="Q2" s="21">
        <v>60.2</v>
      </c>
      <c r="R2" s="22">
        <v>1</v>
      </c>
      <c r="S2" s="23">
        <f>Twirling_Group_TwirlingTeam_Children[[#This Row],[Judge 3
Tea Softić]]-R2</f>
        <v>59.2</v>
      </c>
      <c r="T2" s="24">
        <f>COUNTIFS(Twirling_Group_TwirlingTeam_Children[Age
Division],Twirling_Group_TwirlingTeam_Children[[#This Row],[Age
Division]],Twirling_Group_TwirlingTeam_Children[Category],Twirling_Group_TwirlingTeam_Children[[#This Row],[Category]],Twirling_Group_TwirlingTeam_Children[J3 TOTAL],"&gt;"&amp;Twirling_Group_TwirlingTeam_Children[[#This Row],[J3 TOTAL]])+1</f>
        <v>1</v>
      </c>
      <c r="U2" s="21">
        <v>60</v>
      </c>
      <c r="V2" s="22">
        <v>1</v>
      </c>
      <c r="W2" s="23">
        <f>Twirling_Group_TwirlingTeam_Children[[#This Row],[Judge 4
Bernard Barač]]-V2</f>
        <v>59</v>
      </c>
      <c r="X2" s="24">
        <f>COUNTIFS(Twirling_Group_TwirlingTeam_Children[Age
Division],Twirling_Group_TwirlingTeam_Children[[#This Row],[Age
Division]],Twirling_Group_TwirlingTeam_Children[Category],Twirling_Group_TwirlingTeam_Children[[#This Row],[Category]],Twirling_Group_TwirlingTeam_Children[J4 TOTAL],"&gt;"&amp;Twirling_Group_TwirlingTeam_Children[[#This Row],[J4 TOTAL]])+1</f>
        <v>1</v>
      </c>
      <c r="Y2" s="21">
        <v>59.4</v>
      </c>
      <c r="Z2" s="22">
        <v>1</v>
      </c>
      <c r="AA2" s="23">
        <f>Twirling_Group_TwirlingTeam_Children[[#This Row],[Judge 5
Barbara Novina]]-Z2</f>
        <v>58.4</v>
      </c>
      <c r="AB2" s="24">
        <f>COUNTIFS(Twirling_Group_TwirlingTeam_Children[Age
Division],Twirling_Group_TwirlingTeam_Children[[#This Row],[Age
Division]],Twirling_Group_TwirlingTeam_Children[Category],Twirling_Group_TwirlingTeam_Children[[#This Row],[Category]],Twirling_Group_TwirlingTeam_Children[J5 TOTAL],"&gt;"&amp;Twirling_Group_TwirlingTeam_Children[[#This Row],[J5 TOTAL]])+1</f>
        <v>1</v>
      </c>
      <c r="AC2" s="25">
        <f>SUM(Twirling_Group_TwirlingTeam_Children[[#This Row],[J1 TOTAL]]+Twirling_Group_TwirlingTeam_Children[[#This Row],[J2 TOTAL]]+Twirling_Group_TwirlingTeam_Children[[#This Row],[J3 TOTAL]]+Twirling_Group_TwirlingTeam_Children[[#This Row],[J4 TOTAL]])+Twirling_Group_TwirlingTeam_Children[[#This Row],[J5 TOTAL]]</f>
        <v>235.6</v>
      </c>
      <c r="AD2" s="25">
        <f>MIN(Twirling_Group_TwirlingTeam_Children[[#This Row],[J1 TOTAL]],Twirling_Group_TwirlingTeam_Children[[#This Row],[J3 TOTAL]],Twirling_Group_TwirlingTeam_Children[[#This Row],[J4 TOTAL]],Twirling_Group_TwirlingTeam_Children[[#This Row],[J5 TOTAL]])</f>
        <v>58.4</v>
      </c>
      <c r="AE2" s="25">
        <f>MAX(Twirling_Group_TwirlingTeam_Children[[#This Row],[J1 TOTAL]],Twirling_Group_TwirlingTeam_Children[[#This Row],[J2 TOTAL]],Twirling_Group_TwirlingTeam_Children[[#This Row],[J3 TOTAL]],Twirling_Group_TwirlingTeam_Children[[#This Row],[J4 TOTAL]],Twirling_Group_TwirlingTeam_Children[[#This Row],[J5 TOTAL]])</f>
        <v>59.2</v>
      </c>
      <c r="AF2" s="25">
        <f>SUM(Twirling_Group_TwirlingTeam_Children[[#This Row],[Total]]-Twirling_Group_TwirlingTeam_Children[[#This Row],[Low]]-Twirling_Group_TwirlingTeam_Children[[#This Row],[High]])</f>
        <v>117.99999999999999</v>
      </c>
      <c r="AG2" s="25">
        <f>AVERAGE(I2,M2,Q2,U2,Y2)</f>
        <v>59.9</v>
      </c>
      <c r="AH2" s="26">
        <f>Twirling_Group_TwirlingTeam_Children[[#This Row],[Final Total]]</f>
        <v>117.99999999999999</v>
      </c>
      <c r="AI2" s="27">
        <f>COUNTIFS(Twirling_Group_TwirlingTeam_Children[Age
Division],Twirling_Group_TwirlingTeam_Children[[#This Row],[Age
Division]],Twirling_Group_TwirlingTeam_Children[Category],Twirling_Group_TwirlingTeam_Children[[#This Row],[Category]],Twirling_Group_TwirlingTeam_Children[FINAL SCORE],"&gt;"&amp;Twirling_Group_TwirlingTeam_Children[[#This Row],[FINAL SCORE]])+1</f>
        <v>1</v>
      </c>
      <c r="AJ2" s="18" t="s">
        <v>26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</sheetData>
  <sheetProtection algorithmName="SHA-512" hashValue="phn08APeD38og5A8NNDqdBfR19KuqnygM55NFJvnke0Yj3lgM0/kdkYpYzJmptstz4jijFf6EukvxxOjsNyZeQ==" saltValue="CDp6aRvzMF1s3Z4qSIPN/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C4FD4-F18F-4113-BB5A-818FCAC1F6B5}">
  <sheetPr codeName="Sheet4"/>
  <dimension ref="A1:BC3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.21875" style="29" bestFit="1" customWidth="1"/>
    <col min="4" max="4" width="7.5546875" style="30" customWidth="1"/>
    <col min="5" max="5" width="7.88671875" style="30" bestFit="1" customWidth="1"/>
    <col min="6" max="6" width="11.88671875" style="20" customWidth="1"/>
    <col min="7" max="7" width="46.21875" style="20" bestFit="1" customWidth="1"/>
    <col min="8" max="8" width="9.6640625" style="20" customWidth="1"/>
    <col min="9" max="12" width="9.109375" style="20" customWidth="1"/>
    <col min="13" max="20" width="9.109375" style="20" hidden="1" customWidth="1"/>
    <col min="21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9</v>
      </c>
      <c r="B2" s="19">
        <v>1</v>
      </c>
      <c r="C2" s="19" t="s">
        <v>42</v>
      </c>
      <c r="D2" s="19" t="s">
        <v>27</v>
      </c>
      <c r="E2" s="19" t="s">
        <v>51</v>
      </c>
      <c r="F2" s="19" t="s">
        <v>53</v>
      </c>
      <c r="G2" s="19" t="s">
        <v>49</v>
      </c>
      <c r="H2" s="20" t="s">
        <v>25</v>
      </c>
      <c r="I2" s="21">
        <v>14.2</v>
      </c>
      <c r="J2" s="22">
        <v>0.1</v>
      </c>
      <c r="K2" s="23">
        <f>Twirling_Solo_F1B_Junior_Beginner[[#This Row],[Judge 1
Tamara Beljak]]-J2</f>
        <v>14.1</v>
      </c>
      <c r="L2" s="24">
        <f>COUNTIFS(Twirling_Solo_F1B_Junior_Beginner[Age
Division],Twirling_Solo_F1B_Junior_Beginner[[#This Row],[Age
Division]],Twirling_Solo_F1B_Junior_Beginner[Category],Twirling_Solo_F1B_Junior_Beginner[[#This Row],[Category]],Twirling_Solo_F1B_Junior_Beginner[J1 TOTAL],"&gt;"&amp;Twirling_Solo_F1B_Junior_Beginner[[#This Row],[J1 TOTAL]])+1</f>
        <v>1</v>
      </c>
      <c r="M2" s="21"/>
      <c r="N2" s="22"/>
      <c r="O2" s="23">
        <f>Twirling_Solo_F1B_Junior_Beginner[[#This Row],[Judge 2
Tihomir Bendelja]]-Twirling_Solo_F1B_Junior_Beginner[[#This Row],[J2 (-)]]</f>
        <v>0</v>
      </c>
      <c r="P2" s="24">
        <f>COUNTIFS(Twirling_Solo_F1B_Junior_Beginner[Age
Division],Twirling_Solo_F1B_Junior_Beginner[[#This Row],[Age
Division]],Twirling_Solo_F1B_Junior_Beginner[Category],Twirling_Solo_F1B_Junior_Beginner[[#This Row],[Category]],Twirling_Solo_F1B_Junior_Beginner[J2 TOTAL],"&gt;"&amp;Twirling_Solo_F1B_Junior_Beginner[[#This Row],[J2 TOTAL]])+1</f>
        <v>1</v>
      </c>
      <c r="Q2" s="21"/>
      <c r="R2" s="22"/>
      <c r="S2" s="23">
        <f>Twirling_Solo_F1B_Junior_Beginner[[#This Row],[Judge 3
Tea Softić]]-R2</f>
        <v>0</v>
      </c>
      <c r="T2" s="24">
        <f>COUNTIFS(Twirling_Solo_F1B_Junior_Beginner[Age
Division],Twirling_Solo_F1B_Junior_Beginner[[#This Row],[Age
Division]],Twirling_Solo_F1B_Junior_Beginner[Category],Twirling_Solo_F1B_Junior_Beginner[[#This Row],[Category]],Twirling_Solo_F1B_Junior_Beginner[J3 TOTAL],"&gt;"&amp;Twirling_Solo_F1B_Junior_Beginner[[#This Row],[J3 TOTAL]])+1</f>
        <v>1</v>
      </c>
      <c r="U2" s="21">
        <v>13.8</v>
      </c>
      <c r="V2" s="22">
        <v>0.1</v>
      </c>
      <c r="W2" s="23">
        <f>Twirling_Solo_F1B_Junior_Beginner[[#This Row],[Judge 4
Bernard Barač]]-V2</f>
        <v>13.700000000000001</v>
      </c>
      <c r="X2" s="24">
        <f>COUNTIFS(Twirling_Solo_F1B_Junior_Beginner[Age
Division],Twirling_Solo_F1B_Junior_Beginner[[#This Row],[Age
Division]],Twirling_Solo_F1B_Junior_Beginner[Category],Twirling_Solo_F1B_Junior_Beginner[[#This Row],[Category]],Twirling_Solo_F1B_Junior_Beginner[J4 TOTAL],"&gt;"&amp;Twirling_Solo_F1B_Junior_Beginner[[#This Row],[J4 TOTAL]])+1</f>
        <v>1</v>
      </c>
      <c r="Y2" s="21">
        <v>13.9</v>
      </c>
      <c r="Z2" s="22">
        <v>0.1</v>
      </c>
      <c r="AA2" s="23">
        <f>Twirling_Solo_F1B_Junior_Beginner[[#This Row],[Judge 5
Barbara Novina]]-Z2</f>
        <v>13.8</v>
      </c>
      <c r="AB2" s="24">
        <f>COUNTIFS(Twirling_Solo_F1B_Junior_Beginner[Age
Division],Twirling_Solo_F1B_Junior_Beginner[[#This Row],[Age
Division]],Twirling_Solo_F1B_Junior_Beginner[Category],Twirling_Solo_F1B_Junior_Beginner[[#This Row],[Category]],Twirling_Solo_F1B_Junior_Beginner[J5 TOTAL],"&gt;"&amp;Twirling_Solo_F1B_Junior_Beginner[[#This Row],[J5 TOTAL]])+1</f>
        <v>1</v>
      </c>
      <c r="AC2" s="25">
        <f>SUM(Twirling_Solo_F1B_Junior_Beginner[[#This Row],[J1 TOTAL]]+Twirling_Solo_F1B_Junior_Beginner[[#This Row],[J2 TOTAL]]+Twirling_Solo_F1B_Junior_Beginner[[#This Row],[J3 TOTAL]]+Twirling_Solo_F1B_Junior_Beginner[[#This Row],[J4 TOTAL]])+Twirling_Solo_F1B_Junior_Beginner[[#This Row],[J5 TOTAL]]</f>
        <v>41.6</v>
      </c>
      <c r="AD2" s="25"/>
      <c r="AE2" s="25"/>
      <c r="AF2" s="25">
        <f>SUM(Twirling_Solo_F1B_Junior_Beginner[[#This Row],[Total]]-Twirling_Solo_F1B_Junior_Beginner[[#This Row],[Low]]-Twirling_Solo_F1B_Junior_Beginner[[#This Row],[High]])</f>
        <v>41.6</v>
      </c>
      <c r="AG2" s="25">
        <f>AVERAGE(I2,M2,Q2,U2,Y2)</f>
        <v>13.966666666666667</v>
      </c>
      <c r="AH2" s="26">
        <f>Twirling_Solo_F1B_Junior_Beginner[[#This Row],[Final Total]]</f>
        <v>41.6</v>
      </c>
      <c r="AI2" s="28">
        <f>COUNTIFS(Twirling_Solo_F1B_Junior_Beginner[Age
Division],Twirling_Solo_F1B_Junior_Beginner[[#This Row],[Age
Division]],Twirling_Solo_F1B_Junior_Beginner[Category],Twirling_Solo_F1B_Junior_Beginner[[#This Row],[Category]],Twirling_Solo_F1B_Junior_Beginner[FINAL SCORE],"&gt;"&amp;Twirling_Solo_F1B_Junior_Beginner[[#This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7</v>
      </c>
      <c r="B3" s="19">
        <v>1</v>
      </c>
      <c r="C3" s="19" t="s">
        <v>42</v>
      </c>
      <c r="D3" s="19" t="s">
        <v>27</v>
      </c>
      <c r="E3" s="19" t="s">
        <v>51</v>
      </c>
      <c r="F3" s="19" t="s">
        <v>61</v>
      </c>
      <c r="G3" s="19" t="s">
        <v>24</v>
      </c>
      <c r="H3" s="20" t="s">
        <v>25</v>
      </c>
      <c r="I3" s="21">
        <v>9.3000000000000007</v>
      </c>
      <c r="J3" s="22">
        <v>0.5</v>
      </c>
      <c r="K3" s="23">
        <f>Twirling_Solo_F1B_Junior_Beginner[[#This Row],[Judge 1
Tamara Beljak]]-J3</f>
        <v>8.8000000000000007</v>
      </c>
      <c r="L3" s="24">
        <f>COUNTIFS(Twirling_Solo_F1B_Junior_Beginner[Age
Division],Twirling_Solo_F1B_Junior_Beginner[[#This Row],[Age
Division]],Twirling_Solo_F1B_Junior_Beginner[Category],Twirling_Solo_F1B_Junior_Beginner[[#This Row],[Category]],Twirling_Solo_F1B_Junior_Beginner[J1 TOTAL],"&gt;"&amp;Twirling_Solo_F1B_Junior_Beginner[[#This Row],[J1 TOTAL]])+1</f>
        <v>2</v>
      </c>
      <c r="M3" s="21"/>
      <c r="N3" s="22"/>
      <c r="O3" s="23">
        <f>Twirling_Solo_F1B_Junior_Beginner[[#This Row],[Judge 2
Tihomir Bendelja]]-Twirling_Solo_F1B_Junior_Beginner[[#This Row],[J2 (-)]]</f>
        <v>0</v>
      </c>
      <c r="P3" s="24">
        <f>COUNTIFS(Twirling_Solo_F1B_Junior_Beginner[Age
Division],Twirling_Solo_F1B_Junior_Beginner[[#This Row],[Age
Division]],Twirling_Solo_F1B_Junior_Beginner[Category],Twirling_Solo_F1B_Junior_Beginner[[#This Row],[Category]],Twirling_Solo_F1B_Junior_Beginner[J2 TOTAL],"&gt;"&amp;Twirling_Solo_F1B_Junior_Beginner[[#This Row],[J2 TOTAL]])+1</f>
        <v>1</v>
      </c>
      <c r="Q3" s="21"/>
      <c r="R3" s="22"/>
      <c r="S3" s="23">
        <f>Twirling_Solo_F1B_Junior_Beginner[[#This Row],[Judge 3
Tea Softić]]-R3</f>
        <v>0</v>
      </c>
      <c r="T3" s="24">
        <f>COUNTIFS(Twirling_Solo_F1B_Junior_Beginner[Age
Division],Twirling_Solo_F1B_Junior_Beginner[[#This Row],[Age
Division]],Twirling_Solo_F1B_Junior_Beginner[Category],Twirling_Solo_F1B_Junior_Beginner[[#This Row],[Category]],Twirling_Solo_F1B_Junior_Beginner[J3 TOTAL],"&gt;"&amp;Twirling_Solo_F1B_Junior_Beginner[[#This Row],[J3 TOTAL]])+1</f>
        <v>1</v>
      </c>
      <c r="U3" s="21">
        <v>9.3000000000000007</v>
      </c>
      <c r="V3" s="22">
        <v>0.5</v>
      </c>
      <c r="W3" s="23">
        <f>Twirling_Solo_F1B_Junior_Beginner[[#This Row],[Judge 4
Bernard Barač]]-V3</f>
        <v>8.8000000000000007</v>
      </c>
      <c r="X3" s="24">
        <f>COUNTIFS(Twirling_Solo_F1B_Junior_Beginner[Age
Division],Twirling_Solo_F1B_Junior_Beginner[[#This Row],[Age
Division]],Twirling_Solo_F1B_Junior_Beginner[Category],Twirling_Solo_F1B_Junior_Beginner[[#This Row],[Category]],Twirling_Solo_F1B_Junior_Beginner[J4 TOTAL],"&gt;"&amp;Twirling_Solo_F1B_Junior_Beginner[[#This Row],[J4 TOTAL]])+1</f>
        <v>2</v>
      </c>
      <c r="Y3" s="21">
        <v>8</v>
      </c>
      <c r="Z3" s="22">
        <v>0.5</v>
      </c>
      <c r="AA3" s="23">
        <f>Twirling_Solo_F1B_Junior_Beginner[[#This Row],[Judge 5
Barbara Novina]]-Z3</f>
        <v>7.5</v>
      </c>
      <c r="AB3" s="24">
        <f>COUNTIFS(Twirling_Solo_F1B_Junior_Beginner[Age
Division],Twirling_Solo_F1B_Junior_Beginner[[#This Row],[Age
Division]],Twirling_Solo_F1B_Junior_Beginner[Category],Twirling_Solo_F1B_Junior_Beginner[[#This Row],[Category]],Twirling_Solo_F1B_Junior_Beginner[J5 TOTAL],"&gt;"&amp;Twirling_Solo_F1B_Junior_Beginner[[#This Row],[J5 TOTAL]])+1</f>
        <v>2</v>
      </c>
      <c r="AC3" s="25">
        <f>SUM(Twirling_Solo_F1B_Junior_Beginner[[#This Row],[J1 TOTAL]]+Twirling_Solo_F1B_Junior_Beginner[[#This Row],[J2 TOTAL]]+Twirling_Solo_F1B_Junior_Beginner[[#This Row],[J3 TOTAL]]+Twirling_Solo_F1B_Junior_Beginner[[#This Row],[J4 TOTAL]])+Twirling_Solo_F1B_Junior_Beginner[[#This Row],[J5 TOTAL]]</f>
        <v>25.1</v>
      </c>
      <c r="AD3" s="25"/>
      <c r="AE3" s="25"/>
      <c r="AF3" s="25">
        <f>SUM(Twirling_Solo_F1B_Junior_Beginner[[#This Row],[Total]]-Twirling_Solo_F1B_Junior_Beginner[[#This Row],[Low]]-Twirling_Solo_F1B_Junior_Beginner[[#This Row],[High]])</f>
        <v>25.1</v>
      </c>
      <c r="AG3" s="25">
        <f>AVERAGE(I3,M3,Q3,U3,Y3)</f>
        <v>8.8666666666666671</v>
      </c>
      <c r="AH3" s="26">
        <f>Twirling_Solo_F1B_Junior_Beginner[[#This Row],[Final Total]]</f>
        <v>25.1</v>
      </c>
      <c r="AI3" s="27">
        <f>COUNTIFS(Twirling_Solo_F1B_Junior_Beginner[Age
Division],Twirling_Solo_F1B_Junior_Beginner[[#This Row],[Age
Division]],Twirling_Solo_F1B_Junior_Beginner[Category],Twirling_Solo_F1B_Junior_Beginner[[#This Row],[Category]],Twirling_Solo_F1B_Junior_Beginner[FINAL SCORE],"&gt;"&amp;Twirling_Solo_F1B_Junior_Beginner[[#This Row],[FINAL SCORE]])+1</f>
        <v>2</v>
      </c>
      <c r="AJ3" s="18" t="s">
        <v>33</v>
      </c>
    </row>
  </sheetData>
  <sheetProtection algorithmName="SHA-512" hashValue="3+pgg5t/jyK0QdpiXvj/8/NUsBsfmkbzPPL1ZPV+tTpevAe5jvKCnFcOQwmzRJwnqj4wBtvrTJfC0Zn1QH78YA==" saltValue="v2DGSiO0NcwcxxHDA4L01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20709-1EAB-45B8-9DD9-FD7AF6ACE7B4}">
  <sheetPr codeName="Sheet30"/>
  <dimension ref="A1:BC4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33203125" style="29" bestFit="1" customWidth="1"/>
    <col min="4" max="4" width="9.6640625" style="30" bestFit="1" customWidth="1"/>
    <col min="5" max="5" width="9.5546875" style="30" bestFit="1" customWidth="1"/>
    <col min="6" max="6" width="24.44140625" style="20" hidden="1" customWidth="1"/>
    <col min="7" max="7" width="40" style="20" bestFit="1" customWidth="1"/>
    <col min="8" max="8" width="9.6640625" style="20" bestFit="1" customWidth="1"/>
    <col min="9" max="12" width="9.109375" style="20" customWidth="1"/>
    <col min="13" max="16" width="9.109375" style="20" hidden="1" customWidth="1"/>
    <col min="17" max="28" width="9.109375" style="20" customWidth="1"/>
    <col min="29" max="29" width="9.109375" style="16" customWidth="1"/>
    <col min="30" max="33" width="9.6640625" style="20" customWidth="1"/>
    <col min="34" max="34" width="7.5546875" style="20" customWidth="1"/>
    <col min="35" max="35" width="8.44140625" style="20" customWidth="1"/>
    <col min="36" max="36" width="9.109375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162</v>
      </c>
      <c r="B2" s="19"/>
      <c r="C2" s="19" t="s">
        <v>117</v>
      </c>
      <c r="D2" s="19" t="s">
        <v>23</v>
      </c>
      <c r="E2" s="19" t="s">
        <v>141</v>
      </c>
      <c r="F2" s="19" t="s">
        <v>405</v>
      </c>
      <c r="G2" s="19" t="s">
        <v>32</v>
      </c>
      <c r="H2" s="20" t="s">
        <v>25</v>
      </c>
      <c r="I2" s="21">
        <v>66.400000000000006</v>
      </c>
      <c r="J2" s="22">
        <v>4.5</v>
      </c>
      <c r="K2" s="23">
        <f>Twirling_Group_TwirlingTeam_Cadet_Lower_Level[[#This Row],[Judge 1
Tamara Beljak]]-J2</f>
        <v>61.900000000000006</v>
      </c>
      <c r="L2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Row],[Category]],Twirling_Group_TwirlingTeam_Cadet_Lower_Level[J1 TOTAL],"&gt;"&amp;Twirling_Group_TwirlingTeam_Cadet_Lower_Level[[#This Row],[J1 TOTAL]])+1</f>
        <v>1</v>
      </c>
      <c r="M2" s="21"/>
      <c r="N2" s="22"/>
      <c r="O2" s="23">
        <f>Twirling_Group_TwirlingTeam_Cadet_Lower_Level[[#This Row],[Judge 2
Tihomir Bendelja]]-Twirling_Group_TwirlingTeam_Cadet_Lower_Level[[#This Row],[J2 (-)]]</f>
        <v>0</v>
      </c>
      <c r="P2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Row],[Category]],Twirling_Group_TwirlingTeam_Cadet_Lower_Level[J2 TOTAL],"&gt;"&amp;Twirling_Group_TwirlingTeam_Cadet_Lower_Level[[#This Row],[J2 TOTAL]])+1</f>
        <v>1</v>
      </c>
      <c r="Q2" s="21">
        <v>65.3</v>
      </c>
      <c r="R2" s="22">
        <v>4.5</v>
      </c>
      <c r="S2" s="23">
        <f>Twirling_Group_TwirlingTeam_Cadet_Lower_Level[[#This Row],[Judge 3
Tea Softić]]-R2</f>
        <v>60.8</v>
      </c>
      <c r="T2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Row],[Category]],Twirling_Group_TwirlingTeam_Cadet_Lower_Level[J3 TOTAL],"&gt;"&amp;Twirling_Group_TwirlingTeam_Cadet_Lower_Level[[#This Row],[J3 TOTAL]])+1</f>
        <v>1</v>
      </c>
      <c r="U2" s="21">
        <v>65.5</v>
      </c>
      <c r="V2" s="22">
        <v>4.5</v>
      </c>
      <c r="W2" s="23">
        <f>Twirling_Group_TwirlingTeam_Cadet_Lower_Level[[#This Row],[Judge 4
Bernard Barač]]-V2</f>
        <v>61</v>
      </c>
      <c r="X2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Row],[Category]],Twirling_Group_TwirlingTeam_Cadet_Lower_Level[J4 TOTAL],"&gt;"&amp;Twirling_Group_TwirlingTeam_Cadet_Lower_Level[[#This Row],[J4 TOTAL]])+1</f>
        <v>1</v>
      </c>
      <c r="Y2" s="21">
        <v>66.400000000000006</v>
      </c>
      <c r="Z2" s="22">
        <v>4.5</v>
      </c>
      <c r="AA2" s="23">
        <f>Twirling_Group_TwirlingTeam_Cadet_Lower_Level[[#This Row],[Judge 5
Barbara Novina]]-Z2</f>
        <v>61.900000000000006</v>
      </c>
      <c r="AB2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Row],[Category]],Twirling_Group_TwirlingTeam_Cadet_Lower_Level[J5 TOTAL],"&gt;"&amp;Twirling_Group_TwirlingTeam_Cadet_Lower_Level[[#This Row],[J5 TOTAL]])+1</f>
        <v>1</v>
      </c>
      <c r="AC2" s="25">
        <f>SUM(Twirling_Group_TwirlingTeam_Cadet_Lower_Level[[#This Row],[J1 TOTAL]]+Twirling_Group_TwirlingTeam_Cadet_Lower_Level[[#This Row],[J2 TOTAL]]+Twirling_Group_TwirlingTeam_Cadet_Lower_Level[[#This Row],[J3 TOTAL]]+Twirling_Group_TwirlingTeam_Cadet_Lower_Level[[#This Row],[J4 TOTAL]])+Twirling_Group_TwirlingTeam_Cadet_Lower_Level[[#This Row],[J5 TOTAL]]</f>
        <v>245.6</v>
      </c>
      <c r="AD2" s="25">
        <f>MIN(Twirling_Group_TwirlingTeam_Cadet_Lower_Level[[#This Row],[J1 TOTAL]],Twirling_Group_TwirlingTeam_Cadet_Lower_Level[[#This Row],[J3 TOTAL]],Twirling_Group_TwirlingTeam_Cadet_Lower_Level[[#This Row],[J4 TOTAL]],Twirling_Group_TwirlingTeam_Cadet_Lower_Level[[#This Row],[J5 TOTAL]])</f>
        <v>60.8</v>
      </c>
      <c r="AE2" s="25">
        <f>MAX(Twirling_Group_TwirlingTeam_Cadet_Lower_Level[[#This Row],[J1 TOTAL]],Twirling_Group_TwirlingTeam_Cadet_Lower_Level[[#This Row],[J2 TOTAL]],Twirling_Group_TwirlingTeam_Cadet_Lower_Level[[#This Row],[J3 TOTAL]],Twirling_Group_TwirlingTeam_Cadet_Lower_Level[[#This Row],[J4 TOTAL]],Twirling_Group_TwirlingTeam_Cadet_Lower_Level[[#This Row],[J5 TOTAL]])</f>
        <v>61.900000000000006</v>
      </c>
      <c r="AF2" s="25">
        <f>SUM(Twirling_Group_TwirlingTeam_Cadet_Lower_Level[[#This Row],[Total]]-Twirling_Group_TwirlingTeam_Cadet_Lower_Level[[#This Row],[Low]]-Twirling_Group_TwirlingTeam_Cadet_Lower_Level[[#This Row],[High]])</f>
        <v>122.9</v>
      </c>
      <c r="AG2" s="25">
        <f>AVERAGE(I2,M2,Q2,U2,Y2)</f>
        <v>65.900000000000006</v>
      </c>
      <c r="AH2" s="26">
        <f>Twirling_Group_TwirlingTeam_Cadet_Lower_Level[[#This Row],[Final Total]]</f>
        <v>122.9</v>
      </c>
      <c r="AI2" s="27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Row],[Category]],Twirling_Group_TwirlingTeam_Cadet_Lower_Level[FINAL SCORE],"&gt;"&amp;Twirling_Group_TwirlingTeam_Cadet_Lower_Level[[#This Row],[FINAL SCORE]])+1</f>
        <v>1</v>
      </c>
      <c r="AJ2" s="18" t="s">
        <v>26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163</v>
      </c>
      <c r="B3" s="19"/>
      <c r="C3" s="19" t="s">
        <v>117</v>
      </c>
      <c r="D3" s="19" t="s">
        <v>23</v>
      </c>
      <c r="E3" s="19" t="s">
        <v>141</v>
      </c>
      <c r="F3" s="19" t="s">
        <v>405</v>
      </c>
      <c r="G3" s="19" t="s">
        <v>45</v>
      </c>
      <c r="H3" s="20" t="s">
        <v>25</v>
      </c>
      <c r="I3" s="21">
        <v>59.6</v>
      </c>
      <c r="J3" s="22">
        <v>2</v>
      </c>
      <c r="K3" s="23">
        <f>Twirling_Group_TwirlingTeam_Cadet_Lower_Level[[#This Row],[Judge 1
Tamara Beljak]]-J3</f>
        <v>57.6</v>
      </c>
      <c r="L3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Row],[Category]],Twirling_Group_TwirlingTeam_Cadet_Lower_Level[J1 TOTAL],"&gt;"&amp;Twirling_Group_TwirlingTeam_Cadet_Lower_Level[[#This Row],[J1 TOTAL]])+1</f>
        <v>2</v>
      </c>
      <c r="M3" s="21"/>
      <c r="N3" s="22"/>
      <c r="O3" s="23">
        <f>Twirling_Group_TwirlingTeam_Cadet_Lower_Level[[#This Row],[Judge 2
Tihomir Bendelja]]-Twirling_Group_TwirlingTeam_Cadet_Lower_Level[[#This Row],[J2 (-)]]</f>
        <v>0</v>
      </c>
      <c r="P3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Row],[Category]],Twirling_Group_TwirlingTeam_Cadet_Lower_Level[J2 TOTAL],"&gt;"&amp;Twirling_Group_TwirlingTeam_Cadet_Lower_Level[[#This Row],[J2 TOTAL]])+1</f>
        <v>1</v>
      </c>
      <c r="Q3" s="21">
        <v>59.9</v>
      </c>
      <c r="R3" s="22">
        <v>2</v>
      </c>
      <c r="S3" s="23">
        <f>Twirling_Group_TwirlingTeam_Cadet_Lower_Level[[#This Row],[Judge 3
Tea Softić]]-R3</f>
        <v>57.9</v>
      </c>
      <c r="T3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Row],[Category]],Twirling_Group_TwirlingTeam_Cadet_Lower_Level[J3 TOTAL],"&gt;"&amp;Twirling_Group_TwirlingTeam_Cadet_Lower_Level[[#This Row],[J3 TOTAL]])+1</f>
        <v>2</v>
      </c>
      <c r="U3" s="21">
        <v>60.3</v>
      </c>
      <c r="V3" s="22">
        <v>2</v>
      </c>
      <c r="W3" s="23">
        <f>Twirling_Group_TwirlingTeam_Cadet_Lower_Level[[#This Row],[Judge 4
Bernard Barač]]-V3</f>
        <v>58.3</v>
      </c>
      <c r="X3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Row],[Category]],Twirling_Group_TwirlingTeam_Cadet_Lower_Level[J4 TOTAL],"&gt;"&amp;Twirling_Group_TwirlingTeam_Cadet_Lower_Level[[#This Row],[J4 TOTAL]])+1</f>
        <v>3</v>
      </c>
      <c r="Y3" s="21">
        <v>61.4</v>
      </c>
      <c r="Z3" s="22">
        <v>2</v>
      </c>
      <c r="AA3" s="23">
        <f>Twirling_Group_TwirlingTeam_Cadet_Lower_Level[[#This Row],[Judge 5
Barbara Novina]]-Z3</f>
        <v>59.4</v>
      </c>
      <c r="AB3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Row],[Category]],Twirling_Group_TwirlingTeam_Cadet_Lower_Level[J5 TOTAL],"&gt;"&amp;Twirling_Group_TwirlingTeam_Cadet_Lower_Level[[#This Row],[J5 TOTAL]])+1</f>
        <v>2</v>
      </c>
      <c r="AC3" s="25">
        <f>SUM(Twirling_Group_TwirlingTeam_Cadet_Lower_Level[[#This Row],[J1 TOTAL]]+Twirling_Group_TwirlingTeam_Cadet_Lower_Level[[#This Row],[J2 TOTAL]]+Twirling_Group_TwirlingTeam_Cadet_Lower_Level[[#This Row],[J3 TOTAL]]+Twirling_Group_TwirlingTeam_Cadet_Lower_Level[[#This Row],[J4 TOTAL]])+Twirling_Group_TwirlingTeam_Cadet_Lower_Level[[#This Row],[J5 TOTAL]]</f>
        <v>233.20000000000002</v>
      </c>
      <c r="AD3" s="25">
        <f>MIN(Twirling_Group_TwirlingTeam_Cadet_Lower_Level[[#This Row],[J1 TOTAL]],Twirling_Group_TwirlingTeam_Cadet_Lower_Level[[#This Row],[J3 TOTAL]],Twirling_Group_TwirlingTeam_Cadet_Lower_Level[[#This Row],[J4 TOTAL]],Twirling_Group_TwirlingTeam_Cadet_Lower_Level[[#This Row],[J5 TOTAL]])</f>
        <v>57.6</v>
      </c>
      <c r="AE3" s="25">
        <f>MAX(Twirling_Group_TwirlingTeam_Cadet_Lower_Level[[#This Row],[J1 TOTAL]],Twirling_Group_TwirlingTeam_Cadet_Lower_Level[[#This Row],[J2 TOTAL]],Twirling_Group_TwirlingTeam_Cadet_Lower_Level[[#This Row],[J3 TOTAL]],Twirling_Group_TwirlingTeam_Cadet_Lower_Level[[#This Row],[J4 TOTAL]],Twirling_Group_TwirlingTeam_Cadet_Lower_Level[[#This Row],[J5 TOTAL]])</f>
        <v>59.4</v>
      </c>
      <c r="AF3" s="25">
        <f>SUM(Twirling_Group_TwirlingTeam_Cadet_Lower_Level[[#This Row],[Total]]-Twirling_Group_TwirlingTeam_Cadet_Lower_Level[[#This Row],[Low]]-Twirling_Group_TwirlingTeam_Cadet_Lower_Level[[#This Row],[High]])</f>
        <v>116.20000000000002</v>
      </c>
      <c r="AG3" s="25">
        <f>AVERAGE(I3,M3,Q3,U3,Y3)</f>
        <v>60.300000000000004</v>
      </c>
      <c r="AH3" s="26">
        <f>Twirling_Group_TwirlingTeam_Cadet_Lower_Level[[#This Row],[Final Total]]</f>
        <v>116.20000000000002</v>
      </c>
      <c r="AI3" s="28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Row],[Category]],Twirling_Group_TwirlingTeam_Cadet_Lower_Level[FINAL SCORE],"&gt;"&amp;Twirling_Group_TwirlingTeam_Cadet_Lower_Level[[#This Row],[FINAL SCORE]])+1</f>
        <v>2</v>
      </c>
      <c r="AJ3" s="18" t="s">
        <v>26</v>
      </c>
    </row>
    <row r="4" spans="1:55" ht="15.6" x14ac:dyDescent="0.3">
      <c r="A4" s="32">
        <v>164</v>
      </c>
      <c r="B4" s="33"/>
      <c r="C4" s="33" t="s">
        <v>117</v>
      </c>
      <c r="D4" s="33" t="s">
        <v>23</v>
      </c>
      <c r="E4" s="33" t="s">
        <v>141</v>
      </c>
      <c r="F4" s="33" t="s">
        <v>405</v>
      </c>
      <c r="G4" s="33" t="s">
        <v>63</v>
      </c>
      <c r="H4" s="35" t="s">
        <v>25</v>
      </c>
      <c r="I4" s="38">
        <v>61.4</v>
      </c>
      <c r="J4" s="22">
        <v>4</v>
      </c>
      <c r="K4" s="23">
        <f>Twirling_Group_TwirlingTeam_Cadet_Lower_Level[[#This Row],[Judge 1
Tamara Beljak]]-J4</f>
        <v>57.4</v>
      </c>
      <c r="L4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Row],[Category]],Twirling_Group_TwirlingTeam_Cadet_Lower_Level[J1 TOTAL],"&gt;"&amp;Twirling_Group_TwirlingTeam_Cadet_Lower_Level[[#This Row],[J1 TOTAL]])+1</f>
        <v>3</v>
      </c>
      <c r="M4" s="21"/>
      <c r="N4" s="22"/>
      <c r="O4" s="23">
        <f>Twirling_Group_TwirlingTeam_Cadet_Lower_Level[[#This Row],[Judge 2
Tihomir Bendelja]]-Twirling_Group_TwirlingTeam_Cadet_Lower_Level[[#This Row],[J2 (-)]]</f>
        <v>0</v>
      </c>
      <c r="P4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Row],[Category]],Twirling_Group_TwirlingTeam_Cadet_Lower_Level[J2 TOTAL],"&gt;"&amp;Twirling_Group_TwirlingTeam_Cadet_Lower_Level[[#This Row],[J2 TOTAL]])+1</f>
        <v>1</v>
      </c>
      <c r="Q4" s="21">
        <v>61.3</v>
      </c>
      <c r="R4" s="22">
        <v>4</v>
      </c>
      <c r="S4" s="23">
        <f>Twirling_Group_TwirlingTeam_Cadet_Lower_Level[[#This Row],[Judge 3
Tea Softić]]-R4</f>
        <v>57.3</v>
      </c>
      <c r="T4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Row],[Category]],Twirling_Group_TwirlingTeam_Cadet_Lower_Level[J3 TOTAL],"&gt;"&amp;Twirling_Group_TwirlingTeam_Cadet_Lower_Level[[#This Row],[J3 TOTAL]])+1</f>
        <v>3</v>
      </c>
      <c r="U4" s="21">
        <v>62.7</v>
      </c>
      <c r="V4" s="22">
        <v>4</v>
      </c>
      <c r="W4" s="23">
        <f>Twirling_Group_TwirlingTeam_Cadet_Lower_Level[[#This Row],[Judge 4
Bernard Barač]]-V4</f>
        <v>58.7</v>
      </c>
      <c r="X4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Row],[Category]],Twirling_Group_TwirlingTeam_Cadet_Lower_Level[J4 TOTAL],"&gt;"&amp;Twirling_Group_TwirlingTeam_Cadet_Lower_Level[[#This Row],[J4 TOTAL]])+1</f>
        <v>2</v>
      </c>
      <c r="Y4" s="21">
        <v>62.9</v>
      </c>
      <c r="Z4" s="22">
        <v>4</v>
      </c>
      <c r="AA4" s="23">
        <f>Twirling_Group_TwirlingTeam_Cadet_Lower_Level[[#This Row],[Judge 5
Barbara Novina]]-Z4</f>
        <v>58.9</v>
      </c>
      <c r="AB4" s="24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Row],[Category]],Twirling_Group_TwirlingTeam_Cadet_Lower_Level[J5 TOTAL],"&gt;"&amp;Twirling_Group_TwirlingTeam_Cadet_Lower_Level[[#This Row],[J5 TOTAL]])+1</f>
        <v>3</v>
      </c>
      <c r="AC4" s="25">
        <f>SUM(Twirling_Group_TwirlingTeam_Cadet_Lower_Level[[#This Row],[J1 TOTAL]]+Twirling_Group_TwirlingTeam_Cadet_Lower_Level[[#This Row],[J2 TOTAL]]+Twirling_Group_TwirlingTeam_Cadet_Lower_Level[[#This Row],[J3 TOTAL]]+Twirling_Group_TwirlingTeam_Cadet_Lower_Level[[#This Row],[J4 TOTAL]])+Twirling_Group_TwirlingTeam_Cadet_Lower_Level[[#This Row],[J5 TOTAL]]</f>
        <v>232.29999999999998</v>
      </c>
      <c r="AD4" s="25">
        <f>MIN(Twirling_Group_TwirlingTeam_Cadet_Lower_Level[[#This Row],[J1 TOTAL]],Twirling_Group_TwirlingTeam_Cadet_Lower_Level[[#This Row],[J3 TOTAL]],Twirling_Group_TwirlingTeam_Cadet_Lower_Level[[#This Row],[J4 TOTAL]],Twirling_Group_TwirlingTeam_Cadet_Lower_Level[[#This Row],[J5 TOTAL]])</f>
        <v>57.3</v>
      </c>
      <c r="AE4" s="25">
        <f>MAX(Twirling_Group_TwirlingTeam_Cadet_Lower_Level[[#This Row],[J1 TOTAL]],Twirling_Group_TwirlingTeam_Cadet_Lower_Level[[#This Row],[J2 TOTAL]],Twirling_Group_TwirlingTeam_Cadet_Lower_Level[[#This Row],[J3 TOTAL]],Twirling_Group_TwirlingTeam_Cadet_Lower_Level[[#This Row],[J4 TOTAL]],Twirling_Group_TwirlingTeam_Cadet_Lower_Level[[#This Row],[J5 TOTAL]])</f>
        <v>58.9</v>
      </c>
      <c r="AF4" s="25">
        <f>SUM(Twirling_Group_TwirlingTeam_Cadet_Lower_Level[[#This Row],[Total]]-Twirling_Group_TwirlingTeam_Cadet_Lower_Level[[#This Row],[Low]]-Twirling_Group_TwirlingTeam_Cadet_Lower_Level[[#This Row],[High]])</f>
        <v>116.1</v>
      </c>
      <c r="AG4" s="25">
        <f>AVERAGE(I4,M4,Q4,U4,Y4)</f>
        <v>62.074999999999996</v>
      </c>
      <c r="AH4" s="26">
        <f>Twirling_Group_TwirlingTeam_Cadet_Lower_Level[[#This Row],[Final Total]]</f>
        <v>116.1</v>
      </c>
      <c r="AI4" s="28">
        <f>COUNTIFS(Twirling_Group_TwirlingTeam_Cadet_Lower_Level[Age
Division],Twirling_Group_TwirlingTeam_Cadet_Lower_Level[[#This Row],[Age
Division]],Twirling_Group_TwirlingTeam_Cadet_Lower_Level[Category],Twirling_Group_TwirlingTeam_Cadet_Lower_Level[[#This Row],[Category]],Twirling_Group_TwirlingTeam_Cadet_Lower_Level[FINAL SCORE],"&gt;"&amp;Twirling_Group_TwirlingTeam_Cadet_Lower_Level[[#This Row],[FINAL SCORE]])+1</f>
        <v>3</v>
      </c>
      <c r="AJ4" s="18" t="s">
        <v>26</v>
      </c>
    </row>
  </sheetData>
  <sheetProtection algorithmName="SHA-512" hashValue="PoZaV0EKXbLxodMaDweo99Vr10LAhkUDrbyJJAHy78gdouGZKmCjSZwmArRUlVphRtjIH29KMPFMUsyAMgrUkw==" saltValue="4N+nci9oJu2w7AplpEZbY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80F6-E6ED-4741-9972-941A6CC91EB9}">
  <sheetPr codeName="Sheet31"/>
  <dimension ref="A1:BC2"/>
  <sheetViews>
    <sheetView zoomScale="80" zoomScaleNormal="80" workbookViewId="0">
      <pane xSplit="8" topLeftCell="I1" activePane="topRight" state="frozen"/>
      <selection activeCell="V26" sqref="V26"/>
      <selection pane="topRight" activeCell="T2" sqref="T2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33203125" style="29" bestFit="1" customWidth="1"/>
    <col min="4" max="4" width="9.6640625" style="30" bestFit="1" customWidth="1"/>
    <col min="5" max="5" width="10.109375" style="30" bestFit="1" customWidth="1"/>
    <col min="6" max="6" width="24.44140625" style="20" hidden="1" customWidth="1"/>
    <col min="7" max="7" width="33.21875" style="20" bestFit="1" customWidth="1"/>
    <col min="8" max="8" width="9.6640625" style="20" bestFit="1" customWidth="1"/>
    <col min="9" max="12" width="9.109375" style="20" customWidth="1"/>
    <col min="13" max="16" width="9.109375" style="20" hidden="1" customWidth="1"/>
    <col min="17" max="28" width="9.109375" style="20" customWidth="1"/>
    <col min="29" max="29" width="9.109375" style="16" customWidth="1"/>
    <col min="30" max="33" width="9.6640625" style="20" customWidth="1"/>
    <col min="34" max="34" width="7.5546875" style="20" customWidth="1"/>
    <col min="35" max="35" width="8.44140625" style="20" customWidth="1"/>
    <col min="36" max="36" width="9.109375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165</v>
      </c>
      <c r="B2" s="19"/>
      <c r="C2" s="19" t="s">
        <v>117</v>
      </c>
      <c r="D2" s="19" t="s">
        <v>23</v>
      </c>
      <c r="E2" s="19" t="s">
        <v>78</v>
      </c>
      <c r="F2" s="19" t="s">
        <v>405</v>
      </c>
      <c r="G2" s="19" t="s">
        <v>47</v>
      </c>
      <c r="H2" s="20" t="s">
        <v>25</v>
      </c>
      <c r="I2" s="21">
        <v>77.2</v>
      </c>
      <c r="J2" s="22">
        <v>2</v>
      </c>
      <c r="K2" s="23">
        <f>Twirling_Group_TwirlingTeam_Cadet_Upper_Level[[#This Row],[Judge 1
Tamara Beljak]]-J2</f>
        <v>75.2</v>
      </c>
      <c r="L2" s="24">
        <f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Row],[Category]],Twirling_Group_TwirlingTeam_Cadet_Upper_Level[J1 TOTAL],"&gt;"&amp;Twirling_Group_TwirlingTeam_Cadet_Upper_Level[[#This Row],[J1 TOTAL]])+1</f>
        <v>1</v>
      </c>
      <c r="M2" s="21"/>
      <c r="N2" s="22"/>
      <c r="O2" s="23">
        <f>Twirling_Group_TwirlingTeam_Cadet_Upper_Level[[#This Row],[Judge 2
Tihomir Bendelja]]-Twirling_Group_TwirlingTeam_Cadet_Upper_Level[[#This Row],[J2 (-)]]</f>
        <v>0</v>
      </c>
      <c r="P2" s="24">
        <f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Row],[Category]],Twirling_Group_TwirlingTeam_Cadet_Upper_Level[J2 TOTAL],"&gt;"&amp;Twirling_Group_TwirlingTeam_Cadet_Upper_Level[[#This Row],[J2 TOTAL]])+1</f>
        <v>1</v>
      </c>
      <c r="Q2" s="21">
        <v>77.2</v>
      </c>
      <c r="R2" s="22">
        <v>2</v>
      </c>
      <c r="S2" s="23">
        <f>Twirling_Group_TwirlingTeam_Cadet_Upper_Level[[#This Row],[Judge 3
Tea Softić]]-R2</f>
        <v>75.2</v>
      </c>
      <c r="T2" s="24">
        <f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Row],[Category]],Twirling_Group_TwirlingTeam_Cadet_Upper_Level[J3 TOTAL],"&gt;"&amp;Twirling_Group_TwirlingTeam_Cadet_Upper_Level[[#This Row],[J3 TOTAL]])+1</f>
        <v>1</v>
      </c>
      <c r="U2" s="21">
        <v>77.599999999999994</v>
      </c>
      <c r="V2" s="22">
        <v>2</v>
      </c>
      <c r="W2" s="23">
        <f>Twirling_Group_TwirlingTeam_Cadet_Upper_Level[[#This Row],[Judge 4
Bernard Barač]]-V2</f>
        <v>75.599999999999994</v>
      </c>
      <c r="X2" s="24">
        <f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Row],[Category]],Twirling_Group_TwirlingTeam_Cadet_Upper_Level[J4 TOTAL],"&gt;"&amp;Twirling_Group_TwirlingTeam_Cadet_Upper_Level[[#This Row],[J4 TOTAL]])+1</f>
        <v>1</v>
      </c>
      <c r="Y2" s="21">
        <v>76.400000000000006</v>
      </c>
      <c r="Z2" s="22">
        <v>2</v>
      </c>
      <c r="AA2" s="23">
        <f>Twirling_Group_TwirlingTeam_Cadet_Upper_Level[[#This Row],[Judge 5
Barbara Novina]]-Z2</f>
        <v>74.400000000000006</v>
      </c>
      <c r="AB2" s="24">
        <f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Row],[Category]],Twirling_Group_TwirlingTeam_Cadet_Upper_Level[J5 TOTAL],"&gt;"&amp;Twirling_Group_TwirlingTeam_Cadet_Upper_Level[[#This Row],[J5 TOTAL]])+1</f>
        <v>1</v>
      </c>
      <c r="AC2" s="25">
        <f>SUM(Twirling_Group_TwirlingTeam_Cadet_Upper_Level[[#This Row],[J1 TOTAL]]+Twirling_Group_TwirlingTeam_Cadet_Upper_Level[[#This Row],[J2 TOTAL]]+Twirling_Group_TwirlingTeam_Cadet_Upper_Level[[#This Row],[J3 TOTAL]]+Twirling_Group_TwirlingTeam_Cadet_Upper_Level[[#This Row],[J4 TOTAL]])+Twirling_Group_TwirlingTeam_Cadet_Upper_Level[[#This Row],[J5 TOTAL]]</f>
        <v>300.39999999999998</v>
      </c>
      <c r="AD2" s="25">
        <f>MIN(Twirling_Group_TwirlingTeam_Cadet_Upper_Level[[#This Row],[J1 TOTAL]],Twirling_Group_TwirlingTeam_Cadet_Upper_Level[[#This Row],[J3 TOTAL]],Twirling_Group_TwirlingTeam_Cadet_Upper_Level[[#This Row],[J4 TOTAL]],Twirling_Group_TwirlingTeam_Cadet_Upper_Level[[#This Row],[J5 TOTAL]])</f>
        <v>74.400000000000006</v>
      </c>
      <c r="AE2" s="25">
        <f>MAX(Twirling_Group_TwirlingTeam_Cadet_Upper_Level[[#This Row],[J1 TOTAL]],Twirling_Group_TwirlingTeam_Cadet_Upper_Level[[#This Row],[J2 TOTAL]],Twirling_Group_TwirlingTeam_Cadet_Upper_Level[[#This Row],[J3 TOTAL]],Twirling_Group_TwirlingTeam_Cadet_Upper_Level[[#This Row],[J4 TOTAL]],Twirling_Group_TwirlingTeam_Cadet_Upper_Level[[#This Row],[J5 TOTAL]])</f>
        <v>75.599999999999994</v>
      </c>
      <c r="AF2" s="25">
        <f>SUM(Twirling_Group_TwirlingTeam_Cadet_Upper_Level[[#This Row],[Total]]-Twirling_Group_TwirlingTeam_Cadet_Upper_Level[[#This Row],[Low]]-Twirling_Group_TwirlingTeam_Cadet_Upper_Level[[#This Row],[High]])</f>
        <v>150.39999999999998</v>
      </c>
      <c r="AG2" s="25">
        <f>AVERAGE(I2,M2,Q2,U2,Y2)</f>
        <v>77.099999999999994</v>
      </c>
      <c r="AH2" s="26">
        <f>Twirling_Group_TwirlingTeam_Cadet_Upper_Level[[#This Row],[Final Total]]</f>
        <v>150.39999999999998</v>
      </c>
      <c r="AI2" s="27">
        <f>COUNTIFS(Twirling_Group_TwirlingTeam_Cadet_Upper_Level[Age
Division],Twirling_Group_TwirlingTeam_Cadet_Upper_Level[[#This Row],[Age
Division]],Twirling_Group_TwirlingTeam_Cadet_Upper_Level[Category],Twirling_Group_TwirlingTeam_Cadet_Upper_Level[[#This Row],[Category]],Twirling_Group_TwirlingTeam_Cadet_Upper_Level[FINAL SCORE],"&gt;"&amp;Twirling_Group_TwirlingTeam_Cadet_Upper_Level[[#This Row],[FINAL SCORE]])+1</f>
        <v>1</v>
      </c>
      <c r="AJ2" s="18" t="s">
        <v>26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</sheetData>
  <sheetProtection algorithmName="SHA-512" hashValue="9FK3JEcfXNwRkjyxCC53CkM3lHplweh8owIOSdOHx+8yRZhNoW9/fWAmd4I9BOLGeskCzObGd3Eo9SCDbYtExg==" saltValue="yvUv9R0r86rsyXusPOyU6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51027-FDBF-4952-A3F4-CC704882CB80}">
  <sheetPr codeName="Sheet32"/>
  <dimension ref="A1:BC5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33203125" style="29" bestFit="1" customWidth="1"/>
    <col min="4" max="4" width="7.5546875" style="30" customWidth="1"/>
    <col min="5" max="5" width="9.5546875" style="30" bestFit="1" customWidth="1"/>
    <col min="6" max="6" width="24.44140625" style="20" hidden="1" customWidth="1"/>
    <col min="7" max="7" width="43.33203125" style="20" bestFit="1" customWidth="1"/>
    <col min="8" max="8" width="8.5546875" style="20" customWidth="1"/>
    <col min="9" max="12" width="9.109375" style="20" customWidth="1"/>
    <col min="13" max="16" width="9.109375" style="20" hidden="1" customWidth="1"/>
    <col min="17" max="28" width="9.109375" style="20" customWidth="1"/>
    <col min="29" max="29" width="9.109375" style="16" customWidth="1"/>
    <col min="30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168</v>
      </c>
      <c r="B2" s="19"/>
      <c r="C2" s="19" t="s">
        <v>117</v>
      </c>
      <c r="D2" s="19" t="s">
        <v>27</v>
      </c>
      <c r="E2" s="19" t="s">
        <v>141</v>
      </c>
      <c r="F2" s="19" t="s">
        <v>405</v>
      </c>
      <c r="G2" s="19" t="s">
        <v>49</v>
      </c>
      <c r="H2" s="20" t="s">
        <v>25</v>
      </c>
      <c r="I2" s="21">
        <v>82.9</v>
      </c>
      <c r="J2" s="22">
        <v>2</v>
      </c>
      <c r="K2" s="23">
        <f>Twirling_Group_TwirlingTeam_Junior_Lower_Level[[#This Row],[Judge 1
Tamara Beljak]]-J2</f>
        <v>80.900000000000006</v>
      </c>
      <c r="L2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Row],[Category]],Twirling_Group_TwirlingTeam_Junior_Lower_Level[J1 TOTAL],"&gt;"&amp;Twirling_Group_TwirlingTeam_Junior_Lower_Level[[#This Row],[J1 TOTAL]])+1</f>
        <v>1</v>
      </c>
      <c r="M2" s="21"/>
      <c r="N2" s="22"/>
      <c r="O2" s="23">
        <f>Twirling_Group_TwirlingTeam_Junior_Lower_Level[[#This Row],[Judge 2
Tihomir Bendelja]]-Twirling_Group_TwirlingTeam_Junior_Lower_Level[[#This Row],[J2 (-)]]</f>
        <v>0</v>
      </c>
      <c r="P2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Row],[Category]],Twirling_Group_TwirlingTeam_Junior_Lower_Level[J2 TOTAL],"&gt;"&amp;Twirling_Group_TwirlingTeam_Junior_Lower_Level[[#This Row],[J2 TOTAL]])+1</f>
        <v>1</v>
      </c>
      <c r="Q2" s="21">
        <v>75.400000000000006</v>
      </c>
      <c r="R2" s="22">
        <v>2</v>
      </c>
      <c r="S2" s="23">
        <f>Twirling_Group_TwirlingTeam_Junior_Lower_Level[[#This Row],[Judge 3
Tea Softić]]-R2</f>
        <v>73.400000000000006</v>
      </c>
      <c r="T2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Row],[Category]],Twirling_Group_TwirlingTeam_Junior_Lower_Level[J3 TOTAL],"&gt;"&amp;Twirling_Group_TwirlingTeam_Junior_Lower_Level[[#This Row],[J3 TOTAL]])+1</f>
        <v>1</v>
      </c>
      <c r="U2" s="21">
        <v>79.3</v>
      </c>
      <c r="V2" s="22">
        <v>2</v>
      </c>
      <c r="W2" s="23">
        <f>Twirling_Group_TwirlingTeam_Junior_Lower_Level[[#This Row],[Judge 4
Bernard Barač]]-V2</f>
        <v>77.3</v>
      </c>
      <c r="X2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Row],[Category]],Twirling_Group_TwirlingTeam_Junior_Lower_Level[J4 TOTAL],"&gt;"&amp;Twirling_Group_TwirlingTeam_Junior_Lower_Level[[#This Row],[J4 TOTAL]])+1</f>
        <v>1</v>
      </c>
      <c r="Y2" s="21">
        <v>74.2</v>
      </c>
      <c r="Z2" s="22">
        <v>2</v>
      </c>
      <c r="AA2" s="23">
        <f>Twirling_Group_TwirlingTeam_Junior_Lower_Level[[#This Row],[Judge 5
Barbara Novina]]-Z2</f>
        <v>72.2</v>
      </c>
      <c r="AB2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Row],[Category]],Twirling_Group_TwirlingTeam_Junior_Lower_Level[J5 TOTAL],"&gt;"&amp;Twirling_Group_TwirlingTeam_Junior_Lower_Level[[#This Row],[J5 TOTAL]])+1</f>
        <v>1</v>
      </c>
      <c r="AC2" s="25">
        <f>SUM(Twirling_Group_TwirlingTeam_Junior_Lower_Level[[#This Row],[J1 TOTAL]]+Twirling_Group_TwirlingTeam_Junior_Lower_Level[[#This Row],[J2 TOTAL]]+Twirling_Group_TwirlingTeam_Junior_Lower_Level[[#This Row],[J3 TOTAL]]+Twirling_Group_TwirlingTeam_Junior_Lower_Level[[#This Row],[J4 TOTAL]])+Twirling_Group_TwirlingTeam_Junior_Lower_Level[[#This Row],[J5 TOTAL]]</f>
        <v>303.8</v>
      </c>
      <c r="AD2" s="25">
        <f>MIN(Twirling_Group_TwirlingTeam_Junior_Lower_Level[[#This Row],[J1 TOTAL]],Twirling_Group_TwirlingTeam_Junior_Lower_Level[[#This Row],[J3 TOTAL]],Twirling_Group_TwirlingTeam_Junior_Lower_Level[[#This Row],[J4 TOTAL]],Twirling_Group_TwirlingTeam_Junior_Lower_Level[[#This Row],[J5 TOTAL]])</f>
        <v>72.2</v>
      </c>
      <c r="AE2" s="25">
        <f>MAX(Twirling_Group_TwirlingTeam_Junior_Lower_Level[[#This Row],[J1 TOTAL]],Twirling_Group_TwirlingTeam_Junior_Lower_Level[[#This Row],[J2 TOTAL]],Twirling_Group_TwirlingTeam_Junior_Lower_Level[[#This Row],[J3 TOTAL]],Twirling_Group_TwirlingTeam_Junior_Lower_Level[[#This Row],[J4 TOTAL]],Twirling_Group_TwirlingTeam_Junior_Lower_Level[[#This Row],[J5 TOTAL]])</f>
        <v>80.900000000000006</v>
      </c>
      <c r="AF2" s="25">
        <f>SUM(Twirling_Group_TwirlingTeam_Junior_Lower_Level[[#This Row],[Total]]-Twirling_Group_TwirlingTeam_Junior_Lower_Level[[#This Row],[Low]]-Twirling_Group_TwirlingTeam_Junior_Lower_Level[[#This Row],[High]])</f>
        <v>150.70000000000002</v>
      </c>
      <c r="AG2" s="25">
        <f>AVERAGE(I2,M2,Q2,U2,Y2)</f>
        <v>77.95</v>
      </c>
      <c r="AH2" s="26">
        <f>Twirling_Group_TwirlingTeam_Junior_Lower_Level[[#This Row],[Final Total]]</f>
        <v>150.70000000000002</v>
      </c>
      <c r="AI2" s="28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Row],[Category]],Twirling_Group_TwirlingTeam_Junior_Lower_Level[FINAL SCORE],"&gt;"&amp;Twirling_Group_TwirlingTeam_Junior_Lower_Level[[#This Row],[FINAL SCORE]])+1</f>
        <v>1</v>
      </c>
      <c r="AJ2" s="18" t="s">
        <v>26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167</v>
      </c>
      <c r="B3" s="19"/>
      <c r="C3" s="19" t="s">
        <v>117</v>
      </c>
      <c r="D3" s="19" t="s">
        <v>27</v>
      </c>
      <c r="E3" s="19" t="s">
        <v>141</v>
      </c>
      <c r="F3" s="19" t="s">
        <v>405</v>
      </c>
      <c r="G3" s="31" t="s">
        <v>45</v>
      </c>
      <c r="H3" s="20" t="s">
        <v>25</v>
      </c>
      <c r="I3" s="21">
        <v>72.400000000000006</v>
      </c>
      <c r="J3" s="22">
        <v>2.5</v>
      </c>
      <c r="K3" s="23">
        <f>Twirling_Group_TwirlingTeam_Junior_Lower_Level[[#This Row],[Judge 1
Tamara Beljak]]-J3</f>
        <v>69.900000000000006</v>
      </c>
      <c r="L3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Row],[Category]],Twirling_Group_TwirlingTeam_Junior_Lower_Level[J1 TOTAL],"&gt;"&amp;Twirling_Group_TwirlingTeam_Junior_Lower_Level[[#This Row],[J1 TOTAL]])+1</f>
        <v>2</v>
      </c>
      <c r="M3" s="21"/>
      <c r="N3" s="22"/>
      <c r="O3" s="23">
        <f>Twirling_Group_TwirlingTeam_Junior_Lower_Level[[#This Row],[Judge 2
Tihomir Bendelja]]-Twirling_Group_TwirlingTeam_Junior_Lower_Level[[#This Row],[J2 (-)]]</f>
        <v>0</v>
      </c>
      <c r="P3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Row],[Category]],Twirling_Group_TwirlingTeam_Junior_Lower_Level[J2 TOTAL],"&gt;"&amp;Twirling_Group_TwirlingTeam_Junior_Lower_Level[[#This Row],[J2 TOTAL]])+1</f>
        <v>1</v>
      </c>
      <c r="Q3" s="21">
        <v>72.400000000000006</v>
      </c>
      <c r="R3" s="22">
        <v>2.5</v>
      </c>
      <c r="S3" s="23">
        <f>Twirling_Group_TwirlingTeam_Junior_Lower_Level[[#This Row],[Judge 3
Tea Softić]]-R3</f>
        <v>69.900000000000006</v>
      </c>
      <c r="T3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Row],[Category]],Twirling_Group_TwirlingTeam_Junior_Lower_Level[J3 TOTAL],"&gt;"&amp;Twirling_Group_TwirlingTeam_Junior_Lower_Level[[#This Row],[J3 TOTAL]])+1</f>
        <v>2</v>
      </c>
      <c r="U3" s="21">
        <v>72.5</v>
      </c>
      <c r="V3" s="22">
        <v>2.5</v>
      </c>
      <c r="W3" s="23">
        <f>Twirling_Group_TwirlingTeam_Junior_Lower_Level[[#This Row],[Judge 4
Bernard Barač]]-V3</f>
        <v>70</v>
      </c>
      <c r="X3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Row],[Category]],Twirling_Group_TwirlingTeam_Junior_Lower_Level[J4 TOTAL],"&gt;"&amp;Twirling_Group_TwirlingTeam_Junior_Lower_Level[[#This Row],[J4 TOTAL]])+1</f>
        <v>2</v>
      </c>
      <c r="Y3" s="21">
        <v>69.2</v>
      </c>
      <c r="Z3" s="22">
        <v>2.5</v>
      </c>
      <c r="AA3" s="23">
        <f>Twirling_Group_TwirlingTeam_Junior_Lower_Level[[#This Row],[Judge 5
Barbara Novina]]-Z3</f>
        <v>66.7</v>
      </c>
      <c r="AB3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Row],[Category]],Twirling_Group_TwirlingTeam_Junior_Lower_Level[J5 TOTAL],"&gt;"&amp;Twirling_Group_TwirlingTeam_Junior_Lower_Level[[#This Row],[J5 TOTAL]])+1</f>
        <v>2</v>
      </c>
      <c r="AC3" s="25">
        <f>SUM(Twirling_Group_TwirlingTeam_Junior_Lower_Level[[#This Row],[J1 TOTAL]]+Twirling_Group_TwirlingTeam_Junior_Lower_Level[[#This Row],[J2 TOTAL]]+Twirling_Group_TwirlingTeam_Junior_Lower_Level[[#This Row],[J3 TOTAL]]+Twirling_Group_TwirlingTeam_Junior_Lower_Level[[#This Row],[J4 TOTAL]])+Twirling_Group_TwirlingTeam_Junior_Lower_Level[[#This Row],[J5 TOTAL]]</f>
        <v>276.5</v>
      </c>
      <c r="AD3" s="25">
        <f>MIN(Twirling_Group_TwirlingTeam_Junior_Lower_Level[[#This Row],[J1 TOTAL]],Twirling_Group_TwirlingTeam_Junior_Lower_Level[[#This Row],[J3 TOTAL]],Twirling_Group_TwirlingTeam_Junior_Lower_Level[[#This Row],[J4 TOTAL]],Twirling_Group_TwirlingTeam_Junior_Lower_Level[[#This Row],[J5 TOTAL]])</f>
        <v>66.7</v>
      </c>
      <c r="AE3" s="25">
        <f>MAX(Twirling_Group_TwirlingTeam_Junior_Lower_Level[[#This Row],[J1 TOTAL]],Twirling_Group_TwirlingTeam_Junior_Lower_Level[[#This Row],[J2 TOTAL]],Twirling_Group_TwirlingTeam_Junior_Lower_Level[[#This Row],[J3 TOTAL]],Twirling_Group_TwirlingTeam_Junior_Lower_Level[[#This Row],[J4 TOTAL]],Twirling_Group_TwirlingTeam_Junior_Lower_Level[[#This Row],[J5 TOTAL]])</f>
        <v>70</v>
      </c>
      <c r="AF3" s="25">
        <f>SUM(Twirling_Group_TwirlingTeam_Junior_Lower_Level[[#This Row],[Total]]-Twirling_Group_TwirlingTeam_Junior_Lower_Level[[#This Row],[Low]]-Twirling_Group_TwirlingTeam_Junior_Lower_Level[[#This Row],[High]])</f>
        <v>139.80000000000001</v>
      </c>
      <c r="AG3" s="25">
        <f>AVERAGE(I3,M3,Q3,U3,Y3)</f>
        <v>71.625</v>
      </c>
      <c r="AH3" s="26">
        <f>Twirling_Group_TwirlingTeam_Junior_Lower_Level[[#This Row],[Final Total]]</f>
        <v>139.80000000000001</v>
      </c>
      <c r="AI3" s="28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Row],[Category]],Twirling_Group_TwirlingTeam_Junior_Lower_Level[FINAL SCORE],"&gt;"&amp;Twirling_Group_TwirlingTeam_Junior_Lower_Level[[#This Row],[FINAL SCORE]])+1</f>
        <v>2</v>
      </c>
      <c r="AJ3" s="18" t="s">
        <v>26</v>
      </c>
    </row>
    <row r="4" spans="1:55" ht="15.6" x14ac:dyDescent="0.3">
      <c r="A4" s="18">
        <v>166</v>
      </c>
      <c r="B4" s="19"/>
      <c r="C4" s="19" t="s">
        <v>117</v>
      </c>
      <c r="D4" s="19" t="s">
        <v>27</v>
      </c>
      <c r="E4" s="19" t="s">
        <v>141</v>
      </c>
      <c r="F4" s="19" t="s">
        <v>405</v>
      </c>
      <c r="G4" s="31" t="s">
        <v>109</v>
      </c>
      <c r="H4" s="20" t="s">
        <v>28</v>
      </c>
      <c r="I4" s="21">
        <v>66</v>
      </c>
      <c r="J4" s="22">
        <v>2.5</v>
      </c>
      <c r="K4" s="23">
        <f>Twirling_Group_TwirlingTeam_Junior_Lower_Level[[#This Row],[Judge 1
Tamara Beljak]]-J4</f>
        <v>63.5</v>
      </c>
      <c r="L4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Row],[Category]],Twirling_Group_TwirlingTeam_Junior_Lower_Level[J1 TOTAL],"&gt;"&amp;Twirling_Group_TwirlingTeam_Junior_Lower_Level[[#This Row],[J1 TOTAL]])+1</f>
        <v>3</v>
      </c>
      <c r="M4" s="21"/>
      <c r="N4" s="22"/>
      <c r="O4" s="23">
        <f>Twirling_Group_TwirlingTeam_Junior_Lower_Level[[#This Row],[Judge 2
Tihomir Bendelja]]-Twirling_Group_TwirlingTeam_Junior_Lower_Level[[#This Row],[J2 (-)]]</f>
        <v>0</v>
      </c>
      <c r="P4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Row],[Category]],Twirling_Group_TwirlingTeam_Junior_Lower_Level[J2 TOTAL],"&gt;"&amp;Twirling_Group_TwirlingTeam_Junior_Lower_Level[[#This Row],[J2 TOTAL]])+1</f>
        <v>1</v>
      </c>
      <c r="Q4" s="21">
        <v>66.3</v>
      </c>
      <c r="R4" s="22">
        <v>2.5</v>
      </c>
      <c r="S4" s="23">
        <f>Twirling_Group_TwirlingTeam_Junior_Lower_Level[[#This Row],[Judge 3
Tea Softić]]-R4</f>
        <v>63.8</v>
      </c>
      <c r="T4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Row],[Category]],Twirling_Group_TwirlingTeam_Junior_Lower_Level[J3 TOTAL],"&gt;"&amp;Twirling_Group_TwirlingTeam_Junior_Lower_Level[[#This Row],[J3 TOTAL]])+1</f>
        <v>3</v>
      </c>
      <c r="U4" s="21">
        <v>67</v>
      </c>
      <c r="V4" s="22">
        <v>2.5</v>
      </c>
      <c r="W4" s="23">
        <f>Twirling_Group_TwirlingTeam_Junior_Lower_Level[[#This Row],[Judge 4
Bernard Barač]]-V4</f>
        <v>64.5</v>
      </c>
      <c r="X4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Row],[Category]],Twirling_Group_TwirlingTeam_Junior_Lower_Level[J4 TOTAL],"&gt;"&amp;Twirling_Group_TwirlingTeam_Junior_Lower_Level[[#This Row],[J4 TOTAL]])+1</f>
        <v>3</v>
      </c>
      <c r="Y4" s="21">
        <v>66.2</v>
      </c>
      <c r="Z4" s="22">
        <v>2.5</v>
      </c>
      <c r="AA4" s="23">
        <f>Twirling_Group_TwirlingTeam_Junior_Lower_Level[[#This Row],[Judge 5
Barbara Novina]]-Z4</f>
        <v>63.7</v>
      </c>
      <c r="AB4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Row],[Category]],Twirling_Group_TwirlingTeam_Junior_Lower_Level[J5 TOTAL],"&gt;"&amp;Twirling_Group_TwirlingTeam_Junior_Lower_Level[[#This Row],[J5 TOTAL]])+1</f>
        <v>3</v>
      </c>
      <c r="AC4" s="25">
        <f>SUM(Twirling_Group_TwirlingTeam_Junior_Lower_Level[[#This Row],[J1 TOTAL]]+Twirling_Group_TwirlingTeam_Junior_Lower_Level[[#This Row],[J2 TOTAL]]+Twirling_Group_TwirlingTeam_Junior_Lower_Level[[#This Row],[J3 TOTAL]]+Twirling_Group_TwirlingTeam_Junior_Lower_Level[[#This Row],[J4 TOTAL]])+Twirling_Group_TwirlingTeam_Junior_Lower_Level[[#This Row],[J5 TOTAL]]</f>
        <v>255.5</v>
      </c>
      <c r="AD4" s="25">
        <f>MIN(Twirling_Group_TwirlingTeam_Junior_Lower_Level[[#This Row],[J1 TOTAL]],Twirling_Group_TwirlingTeam_Junior_Lower_Level[[#This Row],[J3 TOTAL]],Twirling_Group_TwirlingTeam_Junior_Lower_Level[[#This Row],[J4 TOTAL]],Twirling_Group_TwirlingTeam_Junior_Lower_Level[[#This Row],[J5 TOTAL]])</f>
        <v>63.5</v>
      </c>
      <c r="AE4" s="25">
        <f>MAX(Twirling_Group_TwirlingTeam_Junior_Lower_Level[[#This Row],[J1 TOTAL]],Twirling_Group_TwirlingTeam_Junior_Lower_Level[[#This Row],[J2 TOTAL]],Twirling_Group_TwirlingTeam_Junior_Lower_Level[[#This Row],[J3 TOTAL]],Twirling_Group_TwirlingTeam_Junior_Lower_Level[[#This Row],[J4 TOTAL]],Twirling_Group_TwirlingTeam_Junior_Lower_Level[[#This Row],[J5 TOTAL]])</f>
        <v>64.5</v>
      </c>
      <c r="AF4" s="25">
        <f>SUM(Twirling_Group_TwirlingTeam_Junior_Lower_Level[[#This Row],[Total]]-Twirling_Group_TwirlingTeam_Junior_Lower_Level[[#This Row],[Low]]-Twirling_Group_TwirlingTeam_Junior_Lower_Level[[#This Row],[High]])</f>
        <v>127.5</v>
      </c>
      <c r="AG4" s="25">
        <f>AVERAGE(I4,M4,Q4,U4,Y4)</f>
        <v>66.375</v>
      </c>
      <c r="AH4" s="26">
        <f>Twirling_Group_TwirlingTeam_Junior_Lower_Level[[#This Row],[Final Total]]</f>
        <v>127.5</v>
      </c>
      <c r="AI4" s="27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Row],[Category]],Twirling_Group_TwirlingTeam_Junior_Lower_Level[FINAL SCORE],"&gt;"&amp;Twirling_Group_TwirlingTeam_Junior_Lower_Level[[#This Row],[FINAL SCORE]])+1</f>
        <v>3</v>
      </c>
      <c r="AJ4" s="18" t="s">
        <v>26</v>
      </c>
    </row>
    <row r="5" spans="1:55" ht="15.6" x14ac:dyDescent="0.3">
      <c r="A5" s="18">
        <v>169</v>
      </c>
      <c r="B5" s="19"/>
      <c r="C5" s="19" t="s">
        <v>117</v>
      </c>
      <c r="D5" s="19" t="s">
        <v>27</v>
      </c>
      <c r="E5" s="19" t="s">
        <v>141</v>
      </c>
      <c r="F5" s="19" t="s">
        <v>405</v>
      </c>
      <c r="G5" s="19" t="s">
        <v>32</v>
      </c>
      <c r="H5" s="20" t="s">
        <v>25</v>
      </c>
      <c r="I5" s="21">
        <v>70.8</v>
      </c>
      <c r="J5" s="22">
        <v>8</v>
      </c>
      <c r="K5" s="23">
        <f>Twirling_Group_TwirlingTeam_Junior_Lower_Level[[#This Row],[Judge 1
Tamara Beljak]]-J5</f>
        <v>62.8</v>
      </c>
      <c r="L5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Row],[Category]],Twirling_Group_TwirlingTeam_Junior_Lower_Level[J1 TOTAL],"&gt;"&amp;Twirling_Group_TwirlingTeam_Junior_Lower_Level[[#This Row],[J1 TOTAL]])+1</f>
        <v>4</v>
      </c>
      <c r="M5" s="21"/>
      <c r="N5" s="22"/>
      <c r="O5" s="23">
        <f>Twirling_Group_TwirlingTeam_Junior_Lower_Level[[#This Row],[Judge 2
Tihomir Bendelja]]-Twirling_Group_TwirlingTeam_Junior_Lower_Level[[#This Row],[J2 (-)]]</f>
        <v>0</v>
      </c>
      <c r="P5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Row],[Category]],Twirling_Group_TwirlingTeam_Junior_Lower_Level[J2 TOTAL],"&gt;"&amp;Twirling_Group_TwirlingTeam_Junior_Lower_Level[[#This Row],[J2 TOTAL]])+1</f>
        <v>1</v>
      </c>
      <c r="Q5" s="21">
        <v>70.900000000000006</v>
      </c>
      <c r="R5" s="22">
        <v>8</v>
      </c>
      <c r="S5" s="23">
        <f>Twirling_Group_TwirlingTeam_Junior_Lower_Level[[#This Row],[Judge 3
Tea Softić]]-R5</f>
        <v>62.900000000000006</v>
      </c>
      <c r="T5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Row],[Category]],Twirling_Group_TwirlingTeam_Junior_Lower_Level[J3 TOTAL],"&gt;"&amp;Twirling_Group_TwirlingTeam_Junior_Lower_Level[[#This Row],[J3 TOTAL]])+1</f>
        <v>4</v>
      </c>
      <c r="U5" s="21">
        <v>71.900000000000006</v>
      </c>
      <c r="V5" s="22">
        <v>8</v>
      </c>
      <c r="W5" s="23">
        <f>Twirling_Group_TwirlingTeam_Junior_Lower_Level[[#This Row],[Judge 4
Bernard Barač]]-V5</f>
        <v>63.900000000000006</v>
      </c>
      <c r="X5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Row],[Category]],Twirling_Group_TwirlingTeam_Junior_Lower_Level[J4 TOTAL],"&gt;"&amp;Twirling_Group_TwirlingTeam_Junior_Lower_Level[[#This Row],[J4 TOTAL]])+1</f>
        <v>4</v>
      </c>
      <c r="Y5" s="21">
        <v>65.3</v>
      </c>
      <c r="Z5" s="22">
        <v>8</v>
      </c>
      <c r="AA5" s="23">
        <f>Twirling_Group_TwirlingTeam_Junior_Lower_Level[[#This Row],[Judge 5
Barbara Novina]]-Z5</f>
        <v>57.3</v>
      </c>
      <c r="AB5" s="24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Row],[Category]],Twirling_Group_TwirlingTeam_Junior_Lower_Level[J5 TOTAL],"&gt;"&amp;Twirling_Group_TwirlingTeam_Junior_Lower_Level[[#This Row],[J5 TOTAL]])+1</f>
        <v>4</v>
      </c>
      <c r="AC5" s="25">
        <f>SUM(Twirling_Group_TwirlingTeam_Junior_Lower_Level[[#This Row],[J1 TOTAL]]+Twirling_Group_TwirlingTeam_Junior_Lower_Level[[#This Row],[J2 TOTAL]]+Twirling_Group_TwirlingTeam_Junior_Lower_Level[[#This Row],[J3 TOTAL]]+Twirling_Group_TwirlingTeam_Junior_Lower_Level[[#This Row],[J4 TOTAL]])+Twirling_Group_TwirlingTeam_Junior_Lower_Level[[#This Row],[J5 TOTAL]]</f>
        <v>246.90000000000003</v>
      </c>
      <c r="AD5" s="25">
        <f>MIN(Twirling_Group_TwirlingTeam_Junior_Lower_Level[[#This Row],[J1 TOTAL]],Twirling_Group_TwirlingTeam_Junior_Lower_Level[[#This Row],[J3 TOTAL]],Twirling_Group_TwirlingTeam_Junior_Lower_Level[[#This Row],[J4 TOTAL]],Twirling_Group_TwirlingTeam_Junior_Lower_Level[[#This Row],[J5 TOTAL]])</f>
        <v>57.3</v>
      </c>
      <c r="AE5" s="25">
        <f>MAX(Twirling_Group_TwirlingTeam_Junior_Lower_Level[[#This Row],[J1 TOTAL]],Twirling_Group_TwirlingTeam_Junior_Lower_Level[[#This Row],[J2 TOTAL]],Twirling_Group_TwirlingTeam_Junior_Lower_Level[[#This Row],[J3 TOTAL]],Twirling_Group_TwirlingTeam_Junior_Lower_Level[[#This Row],[J4 TOTAL]],Twirling_Group_TwirlingTeam_Junior_Lower_Level[[#This Row],[J5 TOTAL]])</f>
        <v>63.900000000000006</v>
      </c>
      <c r="AF5" s="25">
        <f>SUM(Twirling_Group_TwirlingTeam_Junior_Lower_Level[[#This Row],[Total]]-Twirling_Group_TwirlingTeam_Junior_Lower_Level[[#This Row],[Low]]-Twirling_Group_TwirlingTeam_Junior_Lower_Level[[#This Row],[High]])</f>
        <v>125.70000000000002</v>
      </c>
      <c r="AG5" s="25">
        <f>AVERAGE(I5,M5,Q5,U5,Y5)</f>
        <v>69.724999999999994</v>
      </c>
      <c r="AH5" s="26">
        <f>Twirling_Group_TwirlingTeam_Junior_Lower_Level[[#This Row],[Final Total]]</f>
        <v>125.70000000000002</v>
      </c>
      <c r="AI5" s="28">
        <f>COUNTIFS(Twirling_Group_TwirlingTeam_Junior_Lower_Level[Age
Division],Twirling_Group_TwirlingTeam_Junior_Lower_Level[[#This Row],[Age
Division]],Twirling_Group_TwirlingTeam_Junior_Lower_Level[Category],Twirling_Group_TwirlingTeam_Junior_Lower_Level[[#This Row],[Category]],Twirling_Group_TwirlingTeam_Junior_Lower_Level[FINAL SCORE],"&gt;"&amp;Twirling_Group_TwirlingTeam_Junior_Lower_Level[[#This Row],[FINAL SCORE]])+1</f>
        <v>4</v>
      </c>
      <c r="AJ5" s="18" t="s">
        <v>26</v>
      </c>
    </row>
  </sheetData>
  <sheetProtection algorithmName="SHA-512" hashValue="jBhRZ+u8/JRnW04IICjhHAV7uEhJvN3XfsobQ0koFhBoK6NnpLnNQW1KetWcl1kGezj0VBenStrB2JfYXxjCbQ==" saltValue="UAYQof5wxo9Yo/vV2eQ3V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1237D-5426-4C60-BE21-2930855FB75F}">
  <sheetPr codeName="Sheet33"/>
  <dimension ref="A1:BC3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3.109375" style="29" customWidth="1"/>
    <col min="4" max="4" width="8.109375" style="30" customWidth="1"/>
    <col min="5" max="5" width="9.5546875" style="29" bestFit="1" customWidth="1"/>
    <col min="6" max="6" width="24.44140625" style="20" hidden="1" customWidth="1"/>
    <col min="7" max="7" width="33.21875" style="20" bestFit="1" customWidth="1"/>
    <col min="8" max="8" width="8.21875" style="20" customWidth="1"/>
    <col min="9" max="12" width="9.109375" style="20" customWidth="1"/>
    <col min="13" max="16" width="9.109375" style="20" hidden="1" customWidth="1"/>
    <col min="17" max="28" width="9.109375" style="20" customWidth="1"/>
    <col min="29" max="29" width="9.109375" style="16" customWidth="1"/>
    <col min="30" max="33" width="9.6640625" style="20" customWidth="1"/>
    <col min="34" max="34" width="7.5546875" style="20" customWidth="1"/>
    <col min="35" max="35" width="8.44140625" style="20" customWidth="1"/>
    <col min="36" max="36" width="9.109375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55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170</v>
      </c>
      <c r="B2" s="19"/>
      <c r="C2" s="19" t="s">
        <v>117</v>
      </c>
      <c r="D2" s="19" t="s">
        <v>29</v>
      </c>
      <c r="E2" s="19" t="s">
        <v>141</v>
      </c>
      <c r="F2" s="19" t="s">
        <v>405</v>
      </c>
      <c r="G2" s="19" t="s">
        <v>47</v>
      </c>
      <c r="H2" s="20" t="s">
        <v>25</v>
      </c>
      <c r="I2" s="21">
        <v>86.4</v>
      </c>
      <c r="J2" s="22">
        <v>2</v>
      </c>
      <c r="K2" s="23">
        <f>Twirling_Group_TwirlingTeam_Senior_Lower_Level[[#This Row],[Judge 1
Tamara Beljak]]-J2</f>
        <v>84.4</v>
      </c>
      <c r="L2" s="24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Row],[Category]],Twirling_Group_TwirlingTeam_Senior_Lower_Level[J1 TOTAL],"&gt;"&amp;Twirling_Group_TwirlingTeam_Senior_Lower_Level[[#This Row],[J1 TOTAL]])+1</f>
        <v>1</v>
      </c>
      <c r="M2" s="21"/>
      <c r="N2" s="22"/>
      <c r="O2" s="23">
        <f>Twirling_Group_TwirlingTeam_Senior_Lower_Level[[#This Row],[Judge 2
Tihomir Bendelja]]-Twirling_Group_TwirlingTeam_Senior_Lower_Level[[#This Row],[J2 (-)]]</f>
        <v>0</v>
      </c>
      <c r="P2" s="24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Row],[Category]],Twirling_Group_TwirlingTeam_Senior_Lower_Level[J2 TOTAL],"&gt;"&amp;Twirling_Group_TwirlingTeam_Senior_Lower_Level[[#This Row],[J2 TOTAL]])+1</f>
        <v>1</v>
      </c>
      <c r="Q2" s="21">
        <v>86.1</v>
      </c>
      <c r="R2" s="22">
        <v>2</v>
      </c>
      <c r="S2" s="23">
        <f>Twirling_Group_TwirlingTeam_Senior_Lower_Level[[#This Row],[Judge 3
Tea Softić]]-R2</f>
        <v>84.1</v>
      </c>
      <c r="T2" s="24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Row],[Category]],Twirling_Group_TwirlingTeam_Senior_Lower_Level[J3 TOTAL],"&gt;"&amp;Twirling_Group_TwirlingTeam_Senior_Lower_Level[[#This Row],[J3 TOTAL]])+1</f>
        <v>1</v>
      </c>
      <c r="U2" s="21">
        <v>86.4</v>
      </c>
      <c r="V2" s="22">
        <v>2</v>
      </c>
      <c r="W2" s="23">
        <f>Twirling_Group_TwirlingTeam_Senior_Lower_Level[[#This Row],[Judge 4
Bernard Barač]]-V2</f>
        <v>84.4</v>
      </c>
      <c r="X2" s="24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Row],[Category]],Twirling_Group_TwirlingTeam_Senior_Lower_Level[J4 TOTAL],"&gt;"&amp;Twirling_Group_TwirlingTeam_Senior_Lower_Level[[#This Row],[J4 TOTAL]])+1</f>
        <v>1</v>
      </c>
      <c r="Y2" s="21">
        <v>84.5</v>
      </c>
      <c r="Z2" s="22">
        <v>2</v>
      </c>
      <c r="AA2" s="23">
        <f>Twirling_Group_TwirlingTeam_Senior_Lower_Level[[#This Row],[Judge 5
Barbara Novina]]-Z2</f>
        <v>82.5</v>
      </c>
      <c r="AB2" s="24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Row],[Category]],Twirling_Group_TwirlingTeam_Senior_Lower_Level[J5 TOTAL],"&gt;"&amp;Twirling_Group_TwirlingTeam_Senior_Lower_Level[[#This Row],[J5 TOTAL]])+1</f>
        <v>1</v>
      </c>
      <c r="AC2" s="25">
        <f>SUM(Twirling_Group_TwirlingTeam_Senior_Lower_Level[[#This Row],[J1 TOTAL]]+Twirling_Group_TwirlingTeam_Senior_Lower_Level[[#This Row],[J2 TOTAL]]+Twirling_Group_TwirlingTeam_Senior_Lower_Level[[#This Row],[J3 TOTAL]]+Twirling_Group_TwirlingTeam_Senior_Lower_Level[[#This Row],[J4 TOTAL]])+Twirling_Group_TwirlingTeam_Senior_Lower_Level[[#This Row],[J5 TOTAL]]</f>
        <v>335.4</v>
      </c>
      <c r="AD2" s="25">
        <f>MIN(Twirling_Group_TwirlingTeam_Senior_Lower_Level[[#This Row],[J1 TOTAL]],Twirling_Group_TwirlingTeam_Senior_Lower_Level[[#This Row],[J3 TOTAL]],Twirling_Group_TwirlingTeam_Senior_Lower_Level[[#This Row],[J4 TOTAL]],Twirling_Group_TwirlingTeam_Senior_Lower_Level[[#This Row],[J5 TOTAL]])</f>
        <v>82.5</v>
      </c>
      <c r="AE2" s="25">
        <f>MAX(Twirling_Group_TwirlingTeam_Senior_Lower_Level[[#This Row],[J1 TOTAL]],Twirling_Group_TwirlingTeam_Senior_Lower_Level[[#This Row],[J2 TOTAL]],Twirling_Group_TwirlingTeam_Senior_Lower_Level[[#This Row],[J3 TOTAL]],Twirling_Group_TwirlingTeam_Senior_Lower_Level[[#This Row],[J4 TOTAL]],Twirling_Group_TwirlingTeam_Senior_Lower_Level[[#This Row],[J5 TOTAL]])</f>
        <v>84.4</v>
      </c>
      <c r="AF2" s="25">
        <f>SUM(Twirling_Group_TwirlingTeam_Senior_Lower_Level[[#This Row],[Total]]-Twirling_Group_TwirlingTeam_Senior_Lower_Level[[#This Row],[Low]]-Twirling_Group_TwirlingTeam_Senior_Lower_Level[[#This Row],[High]])</f>
        <v>168.49999999999997</v>
      </c>
      <c r="AG2" s="25">
        <f>AVERAGE(I2,M2,Q2,U2,Y2)</f>
        <v>85.85</v>
      </c>
      <c r="AH2" s="26">
        <f>Twirling_Group_TwirlingTeam_Senior_Lower_Level[[#This Row],[Final Total]]</f>
        <v>168.49999999999997</v>
      </c>
      <c r="AI2" s="27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Row],[Category]],Twirling_Group_TwirlingTeam_Senior_Lower_Level[FINAL SCORE],"&gt;"&amp;Twirling_Group_TwirlingTeam_Senior_Lower_Level[[#This Row],[FINAL SCORE]])+1</f>
        <v>1</v>
      </c>
      <c r="AJ2" s="18" t="s">
        <v>26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171</v>
      </c>
      <c r="B3" s="19"/>
      <c r="C3" s="19" t="s">
        <v>117</v>
      </c>
      <c r="D3" s="19" t="s">
        <v>29</v>
      </c>
      <c r="E3" s="19" t="s">
        <v>141</v>
      </c>
      <c r="F3" s="19" t="s">
        <v>405</v>
      </c>
      <c r="G3" s="19" t="s">
        <v>73</v>
      </c>
      <c r="H3" s="20" t="s">
        <v>28</v>
      </c>
      <c r="I3" s="21">
        <v>68.099999999999994</v>
      </c>
      <c r="J3" s="22">
        <v>5.5</v>
      </c>
      <c r="K3" s="23">
        <f>Twirling_Group_TwirlingTeam_Senior_Lower_Level[[#This Row],[Judge 1
Tamara Beljak]]-J3</f>
        <v>62.599999999999994</v>
      </c>
      <c r="L3" s="24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Row],[Category]],Twirling_Group_TwirlingTeam_Senior_Lower_Level[J1 TOTAL],"&gt;"&amp;Twirling_Group_TwirlingTeam_Senior_Lower_Level[[#This Row],[J1 TOTAL]])+1</f>
        <v>2</v>
      </c>
      <c r="M3" s="21"/>
      <c r="N3" s="22"/>
      <c r="O3" s="23">
        <f>Twirling_Group_TwirlingTeam_Senior_Lower_Level[[#This Row],[Judge 2
Tihomir Bendelja]]-Twirling_Group_TwirlingTeam_Senior_Lower_Level[[#This Row],[J2 (-)]]</f>
        <v>0</v>
      </c>
      <c r="P3" s="24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Row],[Category]],Twirling_Group_TwirlingTeam_Senior_Lower_Level[J2 TOTAL],"&gt;"&amp;Twirling_Group_TwirlingTeam_Senior_Lower_Level[[#This Row],[J2 TOTAL]])+1</f>
        <v>1</v>
      </c>
      <c r="Q3" s="21">
        <v>70.400000000000006</v>
      </c>
      <c r="R3" s="22">
        <v>5.5</v>
      </c>
      <c r="S3" s="23">
        <f>Twirling_Group_TwirlingTeam_Senior_Lower_Level[[#This Row],[Judge 3
Tea Softić]]-R3</f>
        <v>64.900000000000006</v>
      </c>
      <c r="T3" s="24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Row],[Category]],Twirling_Group_TwirlingTeam_Senior_Lower_Level[J3 TOTAL],"&gt;"&amp;Twirling_Group_TwirlingTeam_Senior_Lower_Level[[#This Row],[J3 TOTAL]])+1</f>
        <v>2</v>
      </c>
      <c r="U3" s="21">
        <v>70.5</v>
      </c>
      <c r="V3" s="22">
        <v>5.5</v>
      </c>
      <c r="W3" s="23">
        <f>Twirling_Group_TwirlingTeam_Senior_Lower_Level[[#This Row],[Judge 4
Bernard Barač]]-V3</f>
        <v>65</v>
      </c>
      <c r="X3" s="24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Row],[Category]],Twirling_Group_TwirlingTeam_Senior_Lower_Level[J4 TOTAL],"&gt;"&amp;Twirling_Group_TwirlingTeam_Senior_Lower_Level[[#This Row],[J4 TOTAL]])+1</f>
        <v>2</v>
      </c>
      <c r="Y3" s="21">
        <v>68.400000000000006</v>
      </c>
      <c r="Z3" s="22">
        <v>5.5</v>
      </c>
      <c r="AA3" s="23">
        <f>Twirling_Group_TwirlingTeam_Senior_Lower_Level[[#This Row],[Judge 5
Barbara Novina]]-Z3</f>
        <v>62.900000000000006</v>
      </c>
      <c r="AB3" s="24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Row],[Category]],Twirling_Group_TwirlingTeam_Senior_Lower_Level[J5 TOTAL],"&gt;"&amp;Twirling_Group_TwirlingTeam_Senior_Lower_Level[[#This Row],[J5 TOTAL]])+1</f>
        <v>2</v>
      </c>
      <c r="AC3" s="25">
        <f>SUM(Twirling_Group_TwirlingTeam_Senior_Lower_Level[[#This Row],[J1 TOTAL]]+Twirling_Group_TwirlingTeam_Senior_Lower_Level[[#This Row],[J2 TOTAL]]+Twirling_Group_TwirlingTeam_Senior_Lower_Level[[#This Row],[J3 TOTAL]]+Twirling_Group_TwirlingTeam_Senior_Lower_Level[[#This Row],[J4 TOTAL]])+Twirling_Group_TwirlingTeam_Senior_Lower_Level[[#This Row],[J5 TOTAL]]</f>
        <v>255.4</v>
      </c>
      <c r="AD3" s="25">
        <f>MIN(Twirling_Group_TwirlingTeam_Senior_Lower_Level[[#This Row],[J1 TOTAL]],Twirling_Group_TwirlingTeam_Senior_Lower_Level[[#This Row],[J3 TOTAL]],Twirling_Group_TwirlingTeam_Senior_Lower_Level[[#This Row],[J4 TOTAL]],Twirling_Group_TwirlingTeam_Senior_Lower_Level[[#This Row],[J5 TOTAL]])</f>
        <v>62.599999999999994</v>
      </c>
      <c r="AE3" s="25">
        <f>MAX(Twirling_Group_TwirlingTeam_Senior_Lower_Level[[#This Row],[J1 TOTAL]],Twirling_Group_TwirlingTeam_Senior_Lower_Level[[#This Row],[J2 TOTAL]],Twirling_Group_TwirlingTeam_Senior_Lower_Level[[#This Row],[J3 TOTAL]],Twirling_Group_TwirlingTeam_Senior_Lower_Level[[#This Row],[J4 TOTAL]],Twirling_Group_TwirlingTeam_Senior_Lower_Level[[#This Row],[J5 TOTAL]])</f>
        <v>65</v>
      </c>
      <c r="AF3" s="25">
        <f>SUM(Twirling_Group_TwirlingTeam_Senior_Lower_Level[[#This Row],[Total]]-Twirling_Group_TwirlingTeam_Senior_Lower_Level[[#This Row],[Low]]-Twirling_Group_TwirlingTeam_Senior_Lower_Level[[#This Row],[High]])</f>
        <v>127.80000000000001</v>
      </c>
      <c r="AG3" s="25">
        <f t="shared" ref="AG3" si="0">AVERAGE(I3,M3,Q3,U3,Y3)</f>
        <v>69.349999999999994</v>
      </c>
      <c r="AH3" s="26">
        <f>Twirling_Group_TwirlingTeam_Senior_Lower_Level[[#This Row],[Final Total]]</f>
        <v>127.80000000000001</v>
      </c>
      <c r="AI3" s="28">
        <f>COUNTIFS(Twirling_Group_TwirlingTeam_Senior_Lower_Level[Age
Division],Twirling_Group_TwirlingTeam_Senior_Lower_Level[[#This Row],[Age
Division]],Twirling_Group_TwirlingTeam_Senior_Lower_Level[Category],Twirling_Group_TwirlingTeam_Senior_Lower_Level[[#This Row],[Category]],Twirling_Group_TwirlingTeam_Senior_Lower_Level[FINAL SCORE],"&gt;"&amp;Twirling_Group_TwirlingTeam_Senior_Lower_Level[[#This Row],[FINAL SCORE]])+1</f>
        <v>2</v>
      </c>
      <c r="AJ3" s="18" t="s">
        <v>26</v>
      </c>
    </row>
  </sheetData>
  <sheetProtection algorithmName="SHA-512" hashValue="/SyZ9NGGYAjk1Pxq26+Z9rC2aYQ11GsGo6Jj9OKZex+GmBzhNPqXfn3JMndD/R7X7SHrYv9Hj9gaEnZuOU/1XQ==" saltValue="YDefLUr8Hz39Lzfxf4Bl/Q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20177-4660-40AD-9024-19AE6333C250}">
  <sheetPr codeName="Sheet34"/>
  <dimension ref="A1:BC3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44140625" style="29" bestFit="1" customWidth="1"/>
    <col min="4" max="4" width="9.6640625" style="30" bestFit="1" customWidth="1"/>
    <col min="5" max="5" width="10.21875" style="30" hidden="1" customWidth="1"/>
    <col min="6" max="6" width="24.44140625" style="20" hidden="1" customWidth="1"/>
    <col min="7" max="7" width="38.77734375" style="20" customWidth="1"/>
    <col min="8" max="8" width="8.6640625" style="20" customWidth="1"/>
    <col min="9" max="12" width="9.109375" style="20" customWidth="1"/>
    <col min="13" max="16" width="9.109375" style="20" hidden="1" customWidth="1"/>
    <col min="17" max="28" width="9.109375" style="20" customWidth="1"/>
    <col min="29" max="29" width="9.109375" style="16" customWidth="1"/>
    <col min="30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173</v>
      </c>
      <c r="B2" s="19"/>
      <c r="C2" s="19" t="s">
        <v>118</v>
      </c>
      <c r="D2" s="19" t="s">
        <v>30</v>
      </c>
      <c r="E2" s="19"/>
      <c r="F2" s="19" t="s">
        <v>405</v>
      </c>
      <c r="G2" s="19" t="s">
        <v>31</v>
      </c>
      <c r="H2" s="20" t="s">
        <v>25</v>
      </c>
      <c r="I2" s="21">
        <v>62.9</v>
      </c>
      <c r="J2" s="22">
        <v>3</v>
      </c>
      <c r="K2" s="23">
        <f>Twirling_Group_TwirlingGroup_Children[[#This Row],[Judge 1
Tamara Beljak]]-J2</f>
        <v>59.9</v>
      </c>
      <c r="L2" s="24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Row],[Category]],Twirling_Group_TwirlingGroup_Children[J1 TOTAL],"&gt;"&amp;Twirling_Group_TwirlingGroup_Children[[#This Row],[J1 TOTAL]])+1</f>
        <v>1</v>
      </c>
      <c r="M2" s="21"/>
      <c r="N2" s="22"/>
      <c r="O2" s="23">
        <f>Twirling_Group_TwirlingGroup_Children[[#This Row],[Judge 2
Tihomir Bendelja]]-Twirling_Group_TwirlingGroup_Children[[#This Row],[J2 (-)]]</f>
        <v>0</v>
      </c>
      <c r="P2" s="24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Row],[Category]],Twirling_Group_TwirlingGroup_Children[J2 TOTAL],"&gt;"&amp;Twirling_Group_TwirlingGroup_Children[[#This Row],[J2 TOTAL]])+1</f>
        <v>1</v>
      </c>
      <c r="Q2" s="21">
        <v>61.4</v>
      </c>
      <c r="R2" s="22">
        <v>3</v>
      </c>
      <c r="S2" s="23">
        <f>Twirling_Group_TwirlingGroup_Children[[#This Row],[Judge 3
Tea Softić]]-R2</f>
        <v>58.4</v>
      </c>
      <c r="T2" s="24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Row],[Category]],Twirling_Group_TwirlingGroup_Children[J3 TOTAL],"&gt;"&amp;Twirling_Group_TwirlingGroup_Children[[#This Row],[J3 TOTAL]])+1</f>
        <v>1</v>
      </c>
      <c r="U2" s="21">
        <v>62.3</v>
      </c>
      <c r="V2" s="22">
        <v>3</v>
      </c>
      <c r="W2" s="23">
        <f>Twirling_Group_TwirlingGroup_Children[[#This Row],[Judge 4
Bernard Barač]]-V2</f>
        <v>59.3</v>
      </c>
      <c r="X2" s="24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Row],[Category]],Twirling_Group_TwirlingGroup_Children[J4 TOTAL],"&gt;"&amp;Twirling_Group_TwirlingGroup_Children[[#This Row],[J4 TOTAL]])+1</f>
        <v>1</v>
      </c>
      <c r="Y2" s="21">
        <v>63.1</v>
      </c>
      <c r="Z2" s="22">
        <v>3</v>
      </c>
      <c r="AA2" s="23">
        <f>Twirling_Group_TwirlingGroup_Children[[#This Row],[Judge 5
Barbara Novina]]-Z2</f>
        <v>60.1</v>
      </c>
      <c r="AB2" s="24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Row],[Category]],Twirling_Group_TwirlingGroup_Children[J5 TOTAL],"&gt;"&amp;Twirling_Group_TwirlingGroup_Children[[#This Row],[J5 TOTAL]])+1</f>
        <v>1</v>
      </c>
      <c r="AC2" s="25">
        <f>SUM(Twirling_Group_TwirlingGroup_Children[[#This Row],[J1 TOTAL]]+Twirling_Group_TwirlingGroup_Children[[#This Row],[J2 TOTAL]]+Twirling_Group_TwirlingGroup_Children[[#This Row],[J3 TOTAL]]+Twirling_Group_TwirlingGroup_Children[[#This Row],[J4 TOTAL]])+Twirling_Group_TwirlingGroup_Children[[#This Row],[J5 TOTAL]]</f>
        <v>237.7</v>
      </c>
      <c r="AD2" s="25">
        <f>MIN(Twirling_Group_TwirlingGroup_Children[[#This Row],[J1 TOTAL]],Twirling_Group_TwirlingGroup_Children[[#This Row],[J3 TOTAL]],Twirling_Group_TwirlingGroup_Children[[#This Row],[J4 TOTAL]],Twirling_Group_TwirlingGroup_Children[[#This Row],[J5 TOTAL]])</f>
        <v>58.4</v>
      </c>
      <c r="AE2" s="25">
        <f>MAX(Twirling_Group_TwirlingGroup_Children[[#This Row],[J1 TOTAL]],Twirling_Group_TwirlingGroup_Children[[#This Row],[J2 TOTAL]],Twirling_Group_TwirlingGroup_Children[[#This Row],[J3 TOTAL]],Twirling_Group_TwirlingGroup_Children[[#This Row],[J4 TOTAL]],Twirling_Group_TwirlingGroup_Children[[#This Row],[J5 TOTAL]])</f>
        <v>60.1</v>
      </c>
      <c r="AF2" s="25">
        <f>SUM(Twirling_Group_TwirlingGroup_Children[[#This Row],[Total]]-Twirling_Group_TwirlingGroup_Children[[#This Row],[Low]]-Twirling_Group_TwirlingGroup_Children[[#This Row],[High]])</f>
        <v>119.19999999999999</v>
      </c>
      <c r="AG2" s="25">
        <f>AVERAGE(I2,M2,Q2,U2,Y2)</f>
        <v>62.424999999999997</v>
      </c>
      <c r="AH2" s="26">
        <f>Twirling_Group_TwirlingGroup_Children[[#This Row],[Final Total]]</f>
        <v>119.19999999999999</v>
      </c>
      <c r="AI2" s="28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Row],[Category]],Twirling_Group_TwirlingGroup_Children[FINAL SCORE],"&gt;"&amp;Twirling_Group_TwirlingGroup_Children[[#This Row],[FINAL SCORE]])+1</f>
        <v>1</v>
      </c>
      <c r="AJ2" s="18" t="s">
        <v>26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172</v>
      </c>
      <c r="B3" s="19"/>
      <c r="C3" s="19" t="s">
        <v>118</v>
      </c>
      <c r="D3" s="19" t="s">
        <v>30</v>
      </c>
      <c r="E3" s="19"/>
      <c r="F3" s="19" t="s">
        <v>405</v>
      </c>
      <c r="G3" s="19" t="s">
        <v>63</v>
      </c>
      <c r="H3" s="20" t="s">
        <v>25</v>
      </c>
      <c r="I3" s="21">
        <v>61.9</v>
      </c>
      <c r="J3" s="22">
        <v>2.5</v>
      </c>
      <c r="K3" s="23">
        <f>Twirling_Group_TwirlingGroup_Children[[#This Row],[Judge 1
Tamara Beljak]]-J3</f>
        <v>59.4</v>
      </c>
      <c r="L3" s="24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Row],[Category]],Twirling_Group_TwirlingGroup_Children[J1 TOTAL],"&gt;"&amp;Twirling_Group_TwirlingGroup_Children[[#This Row],[J1 TOTAL]])+1</f>
        <v>2</v>
      </c>
      <c r="M3" s="21"/>
      <c r="N3" s="22"/>
      <c r="O3" s="23">
        <f>Twirling_Group_TwirlingGroup_Children[[#This Row],[Judge 2
Tihomir Bendelja]]-Twirling_Group_TwirlingGroup_Children[[#This Row],[J2 (-)]]</f>
        <v>0</v>
      </c>
      <c r="P3" s="24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Row],[Category]],Twirling_Group_TwirlingGroup_Children[J2 TOTAL],"&gt;"&amp;Twirling_Group_TwirlingGroup_Children[[#This Row],[J2 TOTAL]])+1</f>
        <v>1</v>
      </c>
      <c r="Q3" s="21">
        <v>60.7</v>
      </c>
      <c r="R3" s="22">
        <v>2.5</v>
      </c>
      <c r="S3" s="23">
        <f>Twirling_Group_TwirlingGroup_Children[[#This Row],[Judge 3
Tea Softić]]-R3</f>
        <v>58.2</v>
      </c>
      <c r="T3" s="24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Row],[Category]],Twirling_Group_TwirlingGroup_Children[J3 TOTAL],"&gt;"&amp;Twirling_Group_TwirlingGroup_Children[[#This Row],[J3 TOTAL]])+1</f>
        <v>2</v>
      </c>
      <c r="U3" s="21">
        <v>61</v>
      </c>
      <c r="V3" s="22">
        <v>2.5</v>
      </c>
      <c r="W3" s="23">
        <f>Twirling_Group_TwirlingGroup_Children[[#This Row],[Judge 4
Bernard Barač]]-V3</f>
        <v>58.5</v>
      </c>
      <c r="X3" s="24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Row],[Category]],Twirling_Group_TwirlingGroup_Children[J4 TOTAL],"&gt;"&amp;Twirling_Group_TwirlingGroup_Children[[#This Row],[J4 TOTAL]])+1</f>
        <v>2</v>
      </c>
      <c r="Y3" s="21">
        <v>61.7</v>
      </c>
      <c r="Z3" s="22">
        <v>2.5</v>
      </c>
      <c r="AA3" s="23">
        <f>Twirling_Group_TwirlingGroup_Children[[#This Row],[Judge 5
Barbara Novina]]-Z3</f>
        <v>59.2</v>
      </c>
      <c r="AB3" s="24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Row],[Category]],Twirling_Group_TwirlingGroup_Children[J5 TOTAL],"&gt;"&amp;Twirling_Group_TwirlingGroup_Children[[#This Row],[J5 TOTAL]])+1</f>
        <v>2</v>
      </c>
      <c r="AC3" s="25">
        <f>SUM(Twirling_Group_TwirlingGroup_Children[[#This Row],[J1 TOTAL]]+Twirling_Group_TwirlingGroup_Children[[#This Row],[J2 TOTAL]]+Twirling_Group_TwirlingGroup_Children[[#This Row],[J3 TOTAL]]+Twirling_Group_TwirlingGroup_Children[[#This Row],[J4 TOTAL]])+Twirling_Group_TwirlingGroup_Children[[#This Row],[J5 TOTAL]]</f>
        <v>235.3</v>
      </c>
      <c r="AD3" s="25">
        <f>MIN(Twirling_Group_TwirlingGroup_Children[[#This Row],[J1 TOTAL]],Twirling_Group_TwirlingGroup_Children[[#This Row],[J3 TOTAL]],Twirling_Group_TwirlingGroup_Children[[#This Row],[J4 TOTAL]],Twirling_Group_TwirlingGroup_Children[[#This Row],[J5 TOTAL]])</f>
        <v>58.2</v>
      </c>
      <c r="AE3" s="25">
        <f>MAX(Twirling_Group_TwirlingGroup_Children[[#This Row],[J1 TOTAL]],Twirling_Group_TwirlingGroup_Children[[#This Row],[J2 TOTAL]],Twirling_Group_TwirlingGroup_Children[[#This Row],[J3 TOTAL]],Twirling_Group_TwirlingGroup_Children[[#This Row],[J4 TOTAL]],Twirling_Group_TwirlingGroup_Children[[#This Row],[J5 TOTAL]])</f>
        <v>59.4</v>
      </c>
      <c r="AF3" s="25">
        <f>SUM(Twirling_Group_TwirlingGroup_Children[[#This Row],[Total]]-Twirling_Group_TwirlingGroup_Children[[#This Row],[Low]]-Twirling_Group_TwirlingGroup_Children[[#This Row],[High]])</f>
        <v>117.70000000000002</v>
      </c>
      <c r="AG3" s="25">
        <f>AVERAGE(I3,M3,Q3,U3,Y3)</f>
        <v>61.325000000000003</v>
      </c>
      <c r="AH3" s="26">
        <f>Twirling_Group_TwirlingGroup_Children[[#This Row],[Final Total]]</f>
        <v>117.70000000000002</v>
      </c>
      <c r="AI3" s="27">
        <f>COUNTIFS(Twirling_Group_TwirlingGroup_Children[Age
Division],Twirling_Group_TwirlingGroup_Children[[#This Row],[Age
Division]],Twirling_Group_TwirlingGroup_Children[Category],Twirling_Group_TwirlingGroup_Children[[#This Row],[Category]],Twirling_Group_TwirlingGroup_Children[FINAL SCORE],"&gt;"&amp;Twirling_Group_TwirlingGroup_Children[[#This Row],[FINAL SCORE]])+1</f>
        <v>2</v>
      </c>
      <c r="AJ3" s="18" t="s">
        <v>26</v>
      </c>
    </row>
  </sheetData>
  <sheetProtection algorithmName="SHA-512" hashValue="VhQ7t5l9lZa4vrxbdPx/3DzEMrJQTgk8mIW1iDZeU4/8D6W/CjcRA97hvOfTU4mSh6FlDIyEAB/Ti2Ob4CN3xQ==" saltValue="7sNGIi2PnmIKy3WMewf1w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B3D8C-83AC-45DC-88BB-FF4524891D42}">
  <sheetPr codeName="Sheet35"/>
  <dimension ref="A1:BC3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44140625" style="29" bestFit="1" customWidth="1"/>
    <col min="4" max="4" width="7.5546875" style="30" customWidth="1"/>
    <col min="5" max="5" width="10.21875" style="30" hidden="1" customWidth="1"/>
    <col min="6" max="6" width="24.44140625" style="20" hidden="1" customWidth="1"/>
    <col min="7" max="7" width="40" style="20" bestFit="1" customWidth="1"/>
    <col min="8" max="8" width="9.6640625" style="20" bestFit="1" customWidth="1"/>
    <col min="9" max="12" width="9.109375" style="20" customWidth="1"/>
    <col min="13" max="16" width="9.109375" style="20" hidden="1" customWidth="1"/>
    <col min="17" max="28" width="9.109375" style="20" customWidth="1"/>
    <col min="29" max="29" width="9.109375" style="16" customWidth="1"/>
    <col min="30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175</v>
      </c>
      <c r="B2" s="19"/>
      <c r="C2" s="19" t="s">
        <v>118</v>
      </c>
      <c r="D2" s="19" t="s">
        <v>23</v>
      </c>
      <c r="E2" s="19"/>
      <c r="F2" s="19" t="s">
        <v>405</v>
      </c>
      <c r="G2" s="19" t="s">
        <v>63</v>
      </c>
      <c r="H2" s="20" t="s">
        <v>25</v>
      </c>
      <c r="I2" s="21">
        <v>67.3</v>
      </c>
      <c r="J2" s="22">
        <v>1</v>
      </c>
      <c r="K2" s="23">
        <f>Twirling_Group_TwirlingGroup_Cadet[[#This Row],[Judge 1
Tamara Beljak]]-J2</f>
        <v>66.3</v>
      </c>
      <c r="L2" s="24">
        <f>COUNTIFS(Twirling_Group_TwirlingGroup_Cadet[Age
Division],Twirling_Group_TwirlingGroup_Cadet[[#This Row],[Age
Division]],Twirling_Group_TwirlingGroup_Cadet[Category],Twirling_Group_TwirlingGroup_Cadet[[#This Row],[Category]],Twirling_Group_TwirlingGroup_Cadet[J1 TOTAL],"&gt;"&amp;Twirling_Group_TwirlingGroup_Cadet[[#This Row],[J1 TOTAL]])+1</f>
        <v>2</v>
      </c>
      <c r="M2" s="21"/>
      <c r="N2" s="22"/>
      <c r="O2" s="23">
        <f>Twirling_Group_TwirlingGroup_Cadet[[#This Row],[Judge 2
Tihomir Bendelja]]-Twirling_Group_TwirlingGroup_Cadet[[#This Row],[J2 (-)]]</f>
        <v>0</v>
      </c>
      <c r="P2" s="24">
        <f>COUNTIFS(Twirling_Group_TwirlingGroup_Cadet[Age
Division],Twirling_Group_TwirlingGroup_Cadet[[#This Row],[Age
Division]],Twirling_Group_TwirlingGroup_Cadet[Category],Twirling_Group_TwirlingGroup_Cadet[[#This Row],[Category]],Twirling_Group_TwirlingGroup_Cadet[J2 TOTAL],"&gt;"&amp;Twirling_Group_TwirlingGroup_Cadet[[#This Row],[J2 TOTAL]])+1</f>
        <v>1</v>
      </c>
      <c r="Q2" s="21">
        <v>67.599999999999994</v>
      </c>
      <c r="R2" s="22">
        <v>1</v>
      </c>
      <c r="S2" s="23">
        <f>Twirling_Group_TwirlingGroup_Cadet[[#This Row],[Judge 3
Tea Softić]]-R2</f>
        <v>66.599999999999994</v>
      </c>
      <c r="T2" s="24">
        <f>COUNTIFS(Twirling_Group_TwirlingGroup_Cadet[Age
Division],Twirling_Group_TwirlingGroup_Cadet[[#This Row],[Age
Division]],Twirling_Group_TwirlingGroup_Cadet[Category],Twirling_Group_TwirlingGroup_Cadet[[#This Row],[Category]],Twirling_Group_TwirlingGroup_Cadet[J3 TOTAL],"&gt;"&amp;Twirling_Group_TwirlingGroup_Cadet[[#This Row],[J3 TOTAL]])+1</f>
        <v>1</v>
      </c>
      <c r="U2" s="21">
        <v>68.3</v>
      </c>
      <c r="V2" s="22">
        <v>1</v>
      </c>
      <c r="W2" s="23">
        <f>Twirling_Group_TwirlingGroup_Cadet[[#This Row],[Judge 4
Bernard Barač]]-V2</f>
        <v>67.3</v>
      </c>
      <c r="X2" s="24">
        <f>COUNTIFS(Twirling_Group_TwirlingGroup_Cadet[Age
Division],Twirling_Group_TwirlingGroup_Cadet[[#This Row],[Age
Division]],Twirling_Group_TwirlingGroup_Cadet[Category],Twirling_Group_TwirlingGroup_Cadet[[#This Row],[Category]],Twirling_Group_TwirlingGroup_Cadet[J4 TOTAL],"&gt;"&amp;Twirling_Group_TwirlingGroup_Cadet[[#This Row],[J4 TOTAL]])+1</f>
        <v>1</v>
      </c>
      <c r="Y2" s="21">
        <v>69.2</v>
      </c>
      <c r="Z2" s="22">
        <v>1</v>
      </c>
      <c r="AA2" s="23">
        <f>Twirling_Group_TwirlingGroup_Cadet[[#This Row],[Judge 5
Barbara Novina]]-Z2</f>
        <v>68.2</v>
      </c>
      <c r="AB2" s="24">
        <f>COUNTIFS(Twirling_Group_TwirlingGroup_Cadet[Age
Division],Twirling_Group_TwirlingGroup_Cadet[[#This Row],[Age
Division]],Twirling_Group_TwirlingGroup_Cadet[Category],Twirling_Group_TwirlingGroup_Cadet[[#This Row],[Category]],Twirling_Group_TwirlingGroup_Cadet[J5 TOTAL],"&gt;"&amp;Twirling_Group_TwirlingGroup_Cadet[[#This Row],[J5 TOTAL]])+1</f>
        <v>1</v>
      </c>
      <c r="AC2" s="25">
        <f>SUM(Twirling_Group_TwirlingGroup_Cadet[[#This Row],[J1 TOTAL]]+Twirling_Group_TwirlingGroup_Cadet[[#This Row],[J2 TOTAL]]+Twirling_Group_TwirlingGroup_Cadet[[#This Row],[J3 TOTAL]]+Twirling_Group_TwirlingGroup_Cadet[[#This Row],[J4 TOTAL]])+Twirling_Group_TwirlingGroup_Cadet[[#This Row],[J5 TOTAL]]</f>
        <v>268.39999999999998</v>
      </c>
      <c r="AD2" s="25">
        <f>MIN(Twirling_Group_TwirlingGroup_Cadet[[#This Row],[J1 TOTAL]],Twirling_Group_TwirlingGroup_Cadet[[#This Row],[J3 TOTAL]],Twirling_Group_TwirlingGroup_Cadet[[#This Row],[J4 TOTAL]],Twirling_Group_TwirlingGroup_Cadet[[#This Row],[J5 TOTAL]])</f>
        <v>66.3</v>
      </c>
      <c r="AE2" s="25">
        <f>MAX(Twirling_Group_TwirlingGroup_Cadet[[#This Row],[J1 TOTAL]],Twirling_Group_TwirlingGroup_Cadet[[#This Row],[J2 TOTAL]],Twirling_Group_TwirlingGroup_Cadet[[#This Row],[J3 TOTAL]],Twirling_Group_TwirlingGroup_Cadet[[#This Row],[J4 TOTAL]],Twirling_Group_TwirlingGroup_Cadet[[#This Row],[J5 TOTAL]])</f>
        <v>68.2</v>
      </c>
      <c r="AF2" s="25">
        <f>SUM(Twirling_Group_TwirlingGroup_Cadet[[#This Row],[Total]]-Twirling_Group_TwirlingGroup_Cadet[[#This Row],[Low]]-Twirling_Group_TwirlingGroup_Cadet[[#This Row],[High]])</f>
        <v>133.89999999999998</v>
      </c>
      <c r="AG2" s="25">
        <f>AVERAGE(I2,M2,Q2,U2,Y2)</f>
        <v>68.099999999999994</v>
      </c>
      <c r="AH2" s="26">
        <f>Twirling_Group_TwirlingGroup_Cadet[[#This Row],[Final Total]]</f>
        <v>133.89999999999998</v>
      </c>
      <c r="AI2" s="28">
        <f>COUNTIFS(Twirling_Group_TwirlingGroup_Cadet[Age
Division],Twirling_Group_TwirlingGroup_Cadet[[#This Row],[Age
Division]],Twirling_Group_TwirlingGroup_Cadet[Category],Twirling_Group_TwirlingGroup_Cadet[[#This Row],[Category]],Twirling_Group_TwirlingGroup_Cadet[FINAL SCORE],"&gt;"&amp;Twirling_Group_TwirlingGroup_Cadet[[#This Row],[FINAL SCORE]])+1</f>
        <v>1</v>
      </c>
      <c r="AJ2" s="18" t="s">
        <v>26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174</v>
      </c>
      <c r="B3" s="19"/>
      <c r="C3" s="19" t="s">
        <v>118</v>
      </c>
      <c r="D3" s="19" t="s">
        <v>23</v>
      </c>
      <c r="E3" s="19"/>
      <c r="F3" s="19" t="s">
        <v>405</v>
      </c>
      <c r="G3" s="19" t="s">
        <v>67</v>
      </c>
      <c r="H3" s="20" t="s">
        <v>25</v>
      </c>
      <c r="I3" s="21">
        <v>70.099999999999994</v>
      </c>
      <c r="J3" s="22">
        <v>3.5</v>
      </c>
      <c r="K3" s="23">
        <f>Twirling_Group_TwirlingGroup_Cadet[[#This Row],[Judge 1
Tamara Beljak]]-J3</f>
        <v>66.599999999999994</v>
      </c>
      <c r="L3" s="24">
        <f>COUNTIFS(Twirling_Group_TwirlingGroup_Cadet[Age
Division],Twirling_Group_TwirlingGroup_Cadet[[#This Row],[Age
Division]],Twirling_Group_TwirlingGroup_Cadet[Category],Twirling_Group_TwirlingGroup_Cadet[[#This Row],[Category]],Twirling_Group_TwirlingGroup_Cadet[J1 TOTAL],"&gt;"&amp;Twirling_Group_TwirlingGroup_Cadet[[#This Row],[J1 TOTAL]])+1</f>
        <v>1</v>
      </c>
      <c r="M3" s="21"/>
      <c r="N3" s="22"/>
      <c r="O3" s="23">
        <f>Twirling_Group_TwirlingGroup_Cadet[[#This Row],[Judge 2
Tihomir Bendelja]]-Twirling_Group_TwirlingGroup_Cadet[[#This Row],[J2 (-)]]</f>
        <v>0</v>
      </c>
      <c r="P3" s="24">
        <f>COUNTIFS(Twirling_Group_TwirlingGroup_Cadet[Age
Division],Twirling_Group_TwirlingGroup_Cadet[[#This Row],[Age
Division]],Twirling_Group_TwirlingGroup_Cadet[Category],Twirling_Group_TwirlingGroup_Cadet[[#This Row],[Category]],Twirling_Group_TwirlingGroup_Cadet[J2 TOTAL],"&gt;"&amp;Twirling_Group_TwirlingGroup_Cadet[[#This Row],[J2 TOTAL]])+1</f>
        <v>1</v>
      </c>
      <c r="Q3" s="21">
        <v>70</v>
      </c>
      <c r="R3" s="22">
        <v>3.5</v>
      </c>
      <c r="S3" s="23">
        <f>Twirling_Group_TwirlingGroup_Cadet[[#This Row],[Judge 3
Tea Softić]]-R3</f>
        <v>66.5</v>
      </c>
      <c r="T3" s="24">
        <f>COUNTIFS(Twirling_Group_TwirlingGroup_Cadet[Age
Division],Twirling_Group_TwirlingGroup_Cadet[[#This Row],[Age
Division]],Twirling_Group_TwirlingGroup_Cadet[Category],Twirling_Group_TwirlingGroup_Cadet[[#This Row],[Category]],Twirling_Group_TwirlingGroup_Cadet[J3 TOTAL],"&gt;"&amp;Twirling_Group_TwirlingGroup_Cadet[[#This Row],[J3 TOTAL]])+1</f>
        <v>2</v>
      </c>
      <c r="U3" s="21">
        <v>70.2</v>
      </c>
      <c r="V3" s="22">
        <v>3.5</v>
      </c>
      <c r="W3" s="23">
        <f>Twirling_Group_TwirlingGroup_Cadet[[#This Row],[Judge 4
Bernard Barač]]-V3</f>
        <v>66.7</v>
      </c>
      <c r="X3" s="24">
        <f>COUNTIFS(Twirling_Group_TwirlingGroup_Cadet[Age
Division],Twirling_Group_TwirlingGroup_Cadet[[#This Row],[Age
Division]],Twirling_Group_TwirlingGroup_Cadet[Category],Twirling_Group_TwirlingGroup_Cadet[[#This Row],[Category]],Twirling_Group_TwirlingGroup_Cadet[J4 TOTAL],"&gt;"&amp;Twirling_Group_TwirlingGroup_Cadet[[#This Row],[J4 TOTAL]])+1</f>
        <v>2</v>
      </c>
      <c r="Y3" s="21">
        <v>70.3</v>
      </c>
      <c r="Z3" s="22">
        <v>3.5</v>
      </c>
      <c r="AA3" s="23">
        <f>Twirling_Group_TwirlingGroup_Cadet[[#This Row],[Judge 5
Barbara Novina]]-Z3</f>
        <v>66.8</v>
      </c>
      <c r="AB3" s="24">
        <f>COUNTIFS(Twirling_Group_TwirlingGroup_Cadet[Age
Division],Twirling_Group_TwirlingGroup_Cadet[[#This Row],[Age
Division]],Twirling_Group_TwirlingGroup_Cadet[Category],Twirling_Group_TwirlingGroup_Cadet[[#This Row],[Category]],Twirling_Group_TwirlingGroup_Cadet[J5 TOTAL],"&gt;"&amp;Twirling_Group_TwirlingGroup_Cadet[[#This Row],[J5 TOTAL]])+1</f>
        <v>2</v>
      </c>
      <c r="AC3" s="25">
        <f>SUM(Twirling_Group_TwirlingGroup_Cadet[[#This Row],[J1 TOTAL]]+Twirling_Group_TwirlingGroup_Cadet[[#This Row],[J2 TOTAL]]+Twirling_Group_TwirlingGroup_Cadet[[#This Row],[J3 TOTAL]]+Twirling_Group_TwirlingGroup_Cadet[[#This Row],[J4 TOTAL]])+Twirling_Group_TwirlingGroup_Cadet[[#This Row],[J5 TOTAL]]</f>
        <v>266.60000000000002</v>
      </c>
      <c r="AD3" s="25">
        <f>MIN(Twirling_Group_TwirlingGroup_Cadet[[#This Row],[J1 TOTAL]],Twirling_Group_TwirlingGroup_Cadet[[#This Row],[J3 TOTAL]],Twirling_Group_TwirlingGroup_Cadet[[#This Row],[J4 TOTAL]],Twirling_Group_TwirlingGroup_Cadet[[#This Row],[J5 TOTAL]])</f>
        <v>66.5</v>
      </c>
      <c r="AE3" s="25">
        <f>MAX(Twirling_Group_TwirlingGroup_Cadet[[#This Row],[J1 TOTAL]],Twirling_Group_TwirlingGroup_Cadet[[#This Row],[J2 TOTAL]],Twirling_Group_TwirlingGroup_Cadet[[#This Row],[J3 TOTAL]],Twirling_Group_TwirlingGroup_Cadet[[#This Row],[J4 TOTAL]],Twirling_Group_TwirlingGroup_Cadet[[#This Row],[J5 TOTAL]])</f>
        <v>66.8</v>
      </c>
      <c r="AF3" s="25">
        <f>SUM(Twirling_Group_TwirlingGroup_Cadet[[#This Row],[Total]]-Twirling_Group_TwirlingGroup_Cadet[[#This Row],[Low]]-Twirling_Group_TwirlingGroup_Cadet[[#This Row],[High]])</f>
        <v>133.30000000000001</v>
      </c>
      <c r="AG3" s="25">
        <f>AVERAGE(I3,M3,Q3,U3,Y3)</f>
        <v>70.150000000000006</v>
      </c>
      <c r="AH3" s="26">
        <f>Twirling_Group_TwirlingGroup_Cadet[[#This Row],[Final Total]]</f>
        <v>133.30000000000001</v>
      </c>
      <c r="AI3" s="27">
        <f>COUNTIFS(Twirling_Group_TwirlingGroup_Cadet[Age
Division],Twirling_Group_TwirlingGroup_Cadet[[#This Row],[Age
Division]],Twirling_Group_TwirlingGroup_Cadet[Category],Twirling_Group_TwirlingGroup_Cadet[[#This Row],[Category]],Twirling_Group_TwirlingGroup_Cadet[FINAL SCORE],"&gt;"&amp;Twirling_Group_TwirlingGroup_Cadet[[#This Row],[FINAL SCORE]])+1</f>
        <v>2</v>
      </c>
      <c r="AJ3" s="18" t="s">
        <v>26</v>
      </c>
    </row>
  </sheetData>
  <sheetProtection algorithmName="SHA-512" hashValue="sKTdceoxjvtc64Yq/Zfvy2SSlXWQlt8ZLiGIe5+h9rVGsU1kBl4zCMYf+egW0VhuyqadAxbcLcd5rQB+G/flEQ==" saltValue="JnsDE62A4msvt+mS6qA04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8C9FF-DB4E-4738-9067-F8838F7F2929}">
  <sheetPr codeName="Sheet36"/>
  <dimension ref="A1:BC2"/>
  <sheetViews>
    <sheetView zoomScale="80" zoomScaleNormal="80" workbookViewId="0">
      <pane xSplit="8" topLeftCell="I1" activePane="topRight" state="frozen"/>
      <selection activeCell="E3" sqref="E3"/>
      <selection pane="topRight" activeCell="K2" sqref="K2"/>
    </sheetView>
  </sheetViews>
  <sheetFormatPr defaultColWidth="9.109375" defaultRowHeight="14.4" x14ac:dyDescent="0.3"/>
  <cols>
    <col min="1" max="1" width="5.44140625" style="29" customWidth="1"/>
    <col min="2" max="2" width="4.44140625" style="29" hidden="1" customWidth="1"/>
    <col min="3" max="3" width="12.44140625" style="29" bestFit="1" customWidth="1"/>
    <col min="4" max="4" width="8.6640625" style="30" customWidth="1"/>
    <col min="5" max="5" width="11.77734375" style="30" hidden="1" customWidth="1"/>
    <col min="6" max="6" width="24.44140625" style="20" hidden="1" customWidth="1"/>
    <col min="7" max="7" width="39.6640625" style="20" bestFit="1" customWidth="1"/>
    <col min="8" max="8" width="9.6640625" style="20" customWidth="1"/>
    <col min="9" max="12" width="9.109375" style="20" customWidth="1"/>
    <col min="13" max="16" width="9.109375" style="20" hidden="1" customWidth="1"/>
    <col min="17" max="28" width="9.109375" style="20" customWidth="1"/>
    <col min="29" max="29" width="9.109375" style="16" customWidth="1"/>
    <col min="30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69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176</v>
      </c>
      <c r="B2" s="19"/>
      <c r="C2" s="19" t="s">
        <v>118</v>
      </c>
      <c r="D2" s="19" t="s">
        <v>29</v>
      </c>
      <c r="E2" s="19"/>
      <c r="F2" s="19" t="s">
        <v>405</v>
      </c>
      <c r="G2" s="19" t="s">
        <v>67</v>
      </c>
      <c r="H2" s="20" t="s">
        <v>25</v>
      </c>
      <c r="I2" s="21">
        <v>86.3</v>
      </c>
      <c r="J2" s="22">
        <v>3</v>
      </c>
      <c r="K2" s="23">
        <f>Twirling_Group_TwirlingGroup_Senior[[#This Row],[Judge 1
Tamara Beljak]]-J2</f>
        <v>83.3</v>
      </c>
      <c r="L2" s="24">
        <f>COUNTIFS(Twirling_Group_TwirlingGroup_Senior[Age
Division],Twirling_Group_TwirlingGroup_Senior[[#This Row],[Age
Division]],Twirling_Group_TwirlingGroup_Senior[Category],Twirling_Group_TwirlingGroup_Senior[[#This Row],[Category]],Twirling_Group_TwirlingGroup_Senior[J1 TOTAL],"&gt;"&amp;Twirling_Group_TwirlingGroup_Senior[[#This Row],[J1 TOTAL]])+1</f>
        <v>1</v>
      </c>
      <c r="M2" s="21"/>
      <c r="N2" s="22"/>
      <c r="O2" s="23">
        <f>Twirling_Group_TwirlingGroup_Senior[[#This Row],[Judge 2
Tihomir Bendelja]]-Twirling_Group_TwirlingGroup_Senior[[#This Row],[J2 (-)]]</f>
        <v>0</v>
      </c>
      <c r="P2" s="24">
        <f>COUNTIFS(Twirling_Group_TwirlingGroup_Senior[Age
Division],Twirling_Group_TwirlingGroup_Senior[[#This Row],[Age
Division]],Twirling_Group_TwirlingGroup_Senior[Category],Twirling_Group_TwirlingGroup_Senior[[#This Row],[Category]],Twirling_Group_TwirlingGroup_Senior[J2 TOTAL],"&gt;"&amp;Twirling_Group_TwirlingGroup_Senior[[#This Row],[J2 TOTAL]])+1</f>
        <v>1</v>
      </c>
      <c r="Q2" s="21">
        <v>84.8</v>
      </c>
      <c r="R2" s="22">
        <v>3</v>
      </c>
      <c r="S2" s="23">
        <f>Twirling_Group_TwirlingGroup_Senior[[#This Row],[Judge 3
Tea Softić]]-R2</f>
        <v>81.8</v>
      </c>
      <c r="T2" s="24">
        <f>COUNTIFS(Twirling_Group_TwirlingGroup_Senior[Age
Division],Twirling_Group_TwirlingGroup_Senior[[#This Row],[Age
Division]],Twirling_Group_TwirlingGroup_Senior[Category],Twirling_Group_TwirlingGroup_Senior[[#This Row],[Category]],Twirling_Group_TwirlingGroup_Senior[J3 TOTAL],"&gt;"&amp;Twirling_Group_TwirlingGroup_Senior[[#This Row],[J3 TOTAL]])+1</f>
        <v>1</v>
      </c>
      <c r="U2" s="21">
        <v>85.8</v>
      </c>
      <c r="V2" s="22">
        <v>3</v>
      </c>
      <c r="W2" s="23">
        <f>Twirling_Group_TwirlingGroup_Senior[[#This Row],[Judge 4
Bernard Barač]]-V2</f>
        <v>82.8</v>
      </c>
      <c r="X2" s="24">
        <f>COUNTIFS(Twirling_Group_TwirlingGroup_Senior[Age
Division],Twirling_Group_TwirlingGroup_Senior[[#This Row],[Age
Division]],Twirling_Group_TwirlingGroup_Senior[Category],Twirling_Group_TwirlingGroup_Senior[[#This Row],[Category]],Twirling_Group_TwirlingGroup_Senior[J4 TOTAL],"&gt;"&amp;Twirling_Group_TwirlingGroup_Senior[[#This Row],[J4 TOTAL]])+1</f>
        <v>1</v>
      </c>
      <c r="Y2" s="21">
        <v>85.6</v>
      </c>
      <c r="Z2" s="22">
        <v>3</v>
      </c>
      <c r="AA2" s="23">
        <f>Twirling_Group_TwirlingGroup_Senior[[#This Row],[Judge 5
Barbara Novina]]-Z2</f>
        <v>82.6</v>
      </c>
      <c r="AB2" s="24">
        <f>COUNTIFS(Twirling_Group_TwirlingGroup_Senior[Age
Division],Twirling_Group_TwirlingGroup_Senior[[#This Row],[Age
Division]],Twirling_Group_TwirlingGroup_Senior[Category],Twirling_Group_TwirlingGroup_Senior[[#This Row],[Category]],Twirling_Group_TwirlingGroup_Senior[J5 TOTAL],"&gt;"&amp;Twirling_Group_TwirlingGroup_Senior[[#This Row],[J5 TOTAL]])+1</f>
        <v>1</v>
      </c>
      <c r="AC2" s="25">
        <f>SUM(Twirling_Group_TwirlingGroup_Senior[[#This Row],[J1 TOTAL]]+Twirling_Group_TwirlingGroup_Senior[[#This Row],[J2 TOTAL]]+Twirling_Group_TwirlingGroup_Senior[[#This Row],[J3 TOTAL]]+Twirling_Group_TwirlingGroup_Senior[[#This Row],[J4 TOTAL]])+Twirling_Group_TwirlingGroup_Senior[[#This Row],[J5 TOTAL]]</f>
        <v>330.5</v>
      </c>
      <c r="AD2" s="25">
        <f>MIN(Twirling_Group_TwirlingGroup_Senior[[#This Row],[J1 TOTAL]],Twirling_Group_TwirlingGroup_Senior[[#This Row],[J3 TOTAL]],Twirling_Group_TwirlingGroup_Senior[[#This Row],[J4 TOTAL]],Twirling_Group_TwirlingGroup_Senior[[#This Row],[J5 TOTAL]])</f>
        <v>81.8</v>
      </c>
      <c r="AE2" s="25">
        <f>MAX(Twirling_Group_TwirlingGroup_Senior[[#This Row],[J1 TOTAL]],Twirling_Group_TwirlingGroup_Senior[[#This Row],[J2 TOTAL]],Twirling_Group_TwirlingGroup_Senior[[#This Row],[J3 TOTAL]],Twirling_Group_TwirlingGroup_Senior[[#This Row],[J4 TOTAL]],Twirling_Group_TwirlingGroup_Senior[[#This Row],[J5 TOTAL]])</f>
        <v>83.3</v>
      </c>
      <c r="AF2" s="25">
        <f>SUM(Twirling_Group_TwirlingGroup_Senior[[#This Row],[Total]]-Twirling_Group_TwirlingGroup_Senior[[#This Row],[Low]]-Twirling_Group_TwirlingGroup_Senior[[#This Row],[High]])</f>
        <v>165.39999999999998</v>
      </c>
      <c r="AG2" s="25">
        <f>AVERAGE(I2,M2,Q2,U2,Y2)</f>
        <v>85.625</v>
      </c>
      <c r="AH2" s="26">
        <f>Twirling_Group_TwirlingGroup_Senior[[#This Row],[Final Total]]</f>
        <v>165.39999999999998</v>
      </c>
      <c r="AI2" s="27">
        <f>COUNTIFS(Twirling_Group_TwirlingGroup_Senior[Age
Division],Twirling_Group_TwirlingGroup_Senior[[#This Row],[Age
Division]],Twirling_Group_TwirlingGroup_Senior[Category],Twirling_Group_TwirlingGroup_Senior[[#This Row],[Category]],Twirling_Group_TwirlingGroup_Senior[FINAL SCORE],"&gt;"&amp;Twirling_Group_TwirlingGroup_Senior[[#This Row],[FINAL SCORE]])+1</f>
        <v>1</v>
      </c>
      <c r="AJ2" s="18" t="s">
        <v>26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</sheetData>
  <sheetProtection algorithmName="SHA-512" hashValue="zBnJKbGLxVylL2JC8X7pc6uu7N25gRZ7BFxGWvRB3HJ26XZBWUUb9ZtCx4a5N+Wi8l6AjZGN0UR4WL4dKbY+Nw==" saltValue="sQUIkJgox1Kj2WFPSGHi8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CB260-A387-4E92-B5F5-DE3562F1A110}">
  <sheetPr codeName="Sheet37">
    <tabColor rgb="FFFFC000"/>
  </sheetPr>
  <dimension ref="A1"/>
  <sheetViews>
    <sheetView workbookViewId="0">
      <selection activeCell="N35" sqref="N35"/>
    </sheetView>
  </sheetViews>
  <sheetFormatPr defaultRowHeight="14.4" x14ac:dyDescent="0.3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7998A-B80A-4755-BBB5-C10723C7FC8B}">
  <sheetPr codeName="Sheet38"/>
  <dimension ref="A1:B183"/>
  <sheetViews>
    <sheetView workbookViewId="0">
      <selection activeCell="N35" sqref="N35"/>
    </sheetView>
  </sheetViews>
  <sheetFormatPr defaultRowHeight="14.4" x14ac:dyDescent="0.3"/>
  <cols>
    <col min="1" max="1" width="110.6640625" bestFit="1" customWidth="1"/>
    <col min="2" max="2" width="12.33203125" style="6" bestFit="1" customWidth="1"/>
  </cols>
  <sheetData>
    <row r="1" spans="1:2" x14ac:dyDescent="0.3">
      <c r="A1" t="s">
        <v>423</v>
      </c>
    </row>
    <row r="3" spans="1:2" x14ac:dyDescent="0.3">
      <c r="A3" s="2" t="s">
        <v>242</v>
      </c>
      <c r="B3" s="6" t="s">
        <v>422</v>
      </c>
    </row>
    <row r="4" spans="1:2" x14ac:dyDescent="0.3">
      <c r="A4" s="3" t="s">
        <v>33</v>
      </c>
      <c r="B4" s="6">
        <v>5462.35</v>
      </c>
    </row>
    <row r="5" spans="1:2" x14ac:dyDescent="0.3">
      <c r="A5" s="4" t="s">
        <v>367</v>
      </c>
      <c r="B5" s="6">
        <v>106</v>
      </c>
    </row>
    <row r="6" spans="1:2" x14ac:dyDescent="0.3">
      <c r="A6" s="4" t="s">
        <v>370</v>
      </c>
      <c r="B6" s="6">
        <v>100.6</v>
      </c>
    </row>
    <row r="7" spans="1:2" x14ac:dyDescent="0.3">
      <c r="A7" s="4" t="s">
        <v>372</v>
      </c>
      <c r="B7" s="6">
        <v>97.3</v>
      </c>
    </row>
    <row r="8" spans="1:2" x14ac:dyDescent="0.3">
      <c r="A8" s="4" t="s">
        <v>368</v>
      </c>
      <c r="B8" s="6">
        <v>93.3</v>
      </c>
    </row>
    <row r="9" spans="1:2" x14ac:dyDescent="0.3">
      <c r="A9" s="4" t="s">
        <v>287</v>
      </c>
      <c r="B9" s="6">
        <v>88.2</v>
      </c>
    </row>
    <row r="10" spans="1:2" x14ac:dyDescent="0.3">
      <c r="A10" s="4" t="s">
        <v>353</v>
      </c>
      <c r="B10" s="6">
        <v>86</v>
      </c>
    </row>
    <row r="11" spans="1:2" x14ac:dyDescent="0.3">
      <c r="A11" s="4" t="s">
        <v>358</v>
      </c>
      <c r="B11" s="6">
        <v>83.7</v>
      </c>
    </row>
    <row r="12" spans="1:2" x14ac:dyDescent="0.3">
      <c r="A12" s="4" t="s">
        <v>357</v>
      </c>
      <c r="B12" s="6">
        <v>83.05</v>
      </c>
    </row>
    <row r="13" spans="1:2" x14ac:dyDescent="0.3">
      <c r="A13" s="4" t="s">
        <v>269</v>
      </c>
      <c r="B13" s="6">
        <v>82.5</v>
      </c>
    </row>
    <row r="14" spans="1:2" x14ac:dyDescent="0.3">
      <c r="A14" s="4" t="s">
        <v>268</v>
      </c>
      <c r="B14" s="6">
        <v>82.1</v>
      </c>
    </row>
    <row r="15" spans="1:2" x14ac:dyDescent="0.3">
      <c r="A15" s="4" t="s">
        <v>355</v>
      </c>
      <c r="B15" s="6">
        <v>82</v>
      </c>
    </row>
    <row r="16" spans="1:2" x14ac:dyDescent="0.3">
      <c r="A16" s="4" t="s">
        <v>288</v>
      </c>
      <c r="B16" s="6">
        <v>81.399999999999991</v>
      </c>
    </row>
    <row r="17" spans="1:2" x14ac:dyDescent="0.3">
      <c r="A17" s="4" t="s">
        <v>356</v>
      </c>
      <c r="B17" s="6">
        <v>81.25</v>
      </c>
    </row>
    <row r="18" spans="1:2" x14ac:dyDescent="0.3">
      <c r="A18" s="4" t="s">
        <v>373</v>
      </c>
      <c r="B18" s="6">
        <v>80.900000000000006</v>
      </c>
    </row>
    <row r="19" spans="1:2" x14ac:dyDescent="0.3">
      <c r="A19" s="4" t="s">
        <v>271</v>
      </c>
      <c r="B19" s="6">
        <v>76.5</v>
      </c>
    </row>
    <row r="20" spans="1:2" x14ac:dyDescent="0.3">
      <c r="A20" s="4" t="s">
        <v>337</v>
      </c>
      <c r="B20" s="6">
        <v>76</v>
      </c>
    </row>
    <row r="21" spans="1:2" x14ac:dyDescent="0.3">
      <c r="A21" s="4" t="s">
        <v>273</v>
      </c>
      <c r="B21" s="6">
        <v>74.599999999999994</v>
      </c>
    </row>
    <row r="22" spans="1:2" x14ac:dyDescent="0.3">
      <c r="A22" s="4" t="s">
        <v>354</v>
      </c>
      <c r="B22" s="6">
        <v>71.5</v>
      </c>
    </row>
    <row r="23" spans="1:2" x14ac:dyDescent="0.3">
      <c r="A23" s="4" t="s">
        <v>289</v>
      </c>
      <c r="B23" s="6">
        <v>69.399999999999991</v>
      </c>
    </row>
    <row r="24" spans="1:2" x14ac:dyDescent="0.3">
      <c r="A24" s="4" t="s">
        <v>272</v>
      </c>
      <c r="B24" s="6">
        <v>67.2</v>
      </c>
    </row>
    <row r="25" spans="1:2" x14ac:dyDescent="0.3">
      <c r="A25" s="4" t="s">
        <v>371</v>
      </c>
      <c r="B25" s="6">
        <v>66.099999999999994</v>
      </c>
    </row>
    <row r="26" spans="1:2" x14ac:dyDescent="0.3">
      <c r="A26" s="4" t="s">
        <v>293</v>
      </c>
      <c r="B26" s="6">
        <v>65.599999999999994</v>
      </c>
    </row>
    <row r="27" spans="1:2" x14ac:dyDescent="0.3">
      <c r="A27" s="4" t="s">
        <v>290</v>
      </c>
      <c r="B27" s="6">
        <v>64.400000000000006</v>
      </c>
    </row>
    <row r="28" spans="1:2" x14ac:dyDescent="0.3">
      <c r="A28" s="4" t="s">
        <v>270</v>
      </c>
      <c r="B28" s="6">
        <v>63.7</v>
      </c>
    </row>
    <row r="29" spans="1:2" x14ac:dyDescent="0.3">
      <c r="A29" s="4" t="s">
        <v>275</v>
      </c>
      <c r="B29" s="6">
        <v>63.699999999999989</v>
      </c>
    </row>
    <row r="30" spans="1:2" x14ac:dyDescent="0.3">
      <c r="A30" s="4" t="s">
        <v>281</v>
      </c>
      <c r="B30" s="6">
        <v>63</v>
      </c>
    </row>
    <row r="31" spans="1:2" x14ac:dyDescent="0.3">
      <c r="A31" s="4" t="s">
        <v>291</v>
      </c>
      <c r="B31" s="6">
        <v>60.5</v>
      </c>
    </row>
    <row r="32" spans="1:2" x14ac:dyDescent="0.3">
      <c r="A32" s="4" t="s">
        <v>324</v>
      </c>
      <c r="B32" s="6">
        <v>58.8</v>
      </c>
    </row>
    <row r="33" spans="1:2" x14ac:dyDescent="0.3">
      <c r="A33" s="4" t="s">
        <v>369</v>
      </c>
      <c r="B33" s="6">
        <v>58</v>
      </c>
    </row>
    <row r="34" spans="1:2" x14ac:dyDescent="0.3">
      <c r="A34" s="4" t="s">
        <v>364</v>
      </c>
      <c r="B34" s="6">
        <v>57.4</v>
      </c>
    </row>
    <row r="35" spans="1:2" x14ac:dyDescent="0.3">
      <c r="A35" s="4" t="s">
        <v>283</v>
      </c>
      <c r="B35" s="6">
        <v>57.199999999999996</v>
      </c>
    </row>
    <row r="36" spans="1:2" x14ac:dyDescent="0.3">
      <c r="A36" s="4" t="s">
        <v>245</v>
      </c>
      <c r="B36" s="6">
        <v>56</v>
      </c>
    </row>
    <row r="37" spans="1:2" x14ac:dyDescent="0.3">
      <c r="A37" s="4" t="s">
        <v>342</v>
      </c>
      <c r="B37" s="6">
        <v>55.2</v>
      </c>
    </row>
    <row r="38" spans="1:2" x14ac:dyDescent="0.3">
      <c r="A38" s="4" t="s">
        <v>348</v>
      </c>
      <c r="B38" s="6">
        <v>54.7</v>
      </c>
    </row>
    <row r="39" spans="1:2" x14ac:dyDescent="0.3">
      <c r="A39" s="4" t="s">
        <v>345</v>
      </c>
      <c r="B39" s="6">
        <v>54.599999999999994</v>
      </c>
    </row>
    <row r="40" spans="1:2" x14ac:dyDescent="0.3">
      <c r="A40" s="4" t="s">
        <v>343</v>
      </c>
      <c r="B40" s="6">
        <v>53.8</v>
      </c>
    </row>
    <row r="41" spans="1:2" x14ac:dyDescent="0.3">
      <c r="A41" s="4" t="s">
        <v>325</v>
      </c>
      <c r="B41" s="6">
        <v>53.599999999999994</v>
      </c>
    </row>
    <row r="42" spans="1:2" x14ac:dyDescent="0.3">
      <c r="A42" s="4" t="s">
        <v>260</v>
      </c>
      <c r="B42" s="6">
        <v>53.400000000000006</v>
      </c>
    </row>
    <row r="43" spans="1:2" x14ac:dyDescent="0.3">
      <c r="A43" s="4" t="s">
        <v>347</v>
      </c>
      <c r="B43" s="6">
        <v>52.900000000000006</v>
      </c>
    </row>
    <row r="44" spans="1:2" x14ac:dyDescent="0.3">
      <c r="A44" s="4" t="s">
        <v>286</v>
      </c>
      <c r="B44" s="6">
        <v>52.699999999999996</v>
      </c>
    </row>
    <row r="45" spans="1:2" x14ac:dyDescent="0.3">
      <c r="A45" s="4" t="s">
        <v>274</v>
      </c>
      <c r="B45" s="6">
        <v>50.600000000000009</v>
      </c>
    </row>
    <row r="46" spans="1:2" x14ac:dyDescent="0.3">
      <c r="A46" s="4" t="s">
        <v>336</v>
      </c>
      <c r="B46" s="6">
        <v>49.9</v>
      </c>
    </row>
    <row r="47" spans="1:2" x14ac:dyDescent="0.3">
      <c r="A47" s="4" t="s">
        <v>320</v>
      </c>
      <c r="B47" s="6">
        <v>49</v>
      </c>
    </row>
    <row r="48" spans="1:2" x14ac:dyDescent="0.3">
      <c r="A48" s="4" t="s">
        <v>284</v>
      </c>
      <c r="B48" s="6">
        <v>48.699999999999996</v>
      </c>
    </row>
    <row r="49" spans="1:2" x14ac:dyDescent="0.3">
      <c r="A49" s="4" t="s">
        <v>322</v>
      </c>
      <c r="B49" s="6">
        <v>48.599999999999994</v>
      </c>
    </row>
    <row r="50" spans="1:2" x14ac:dyDescent="0.3">
      <c r="A50" s="4" t="s">
        <v>262</v>
      </c>
      <c r="B50" s="6">
        <v>48.2</v>
      </c>
    </row>
    <row r="51" spans="1:2" x14ac:dyDescent="0.3">
      <c r="A51" s="4" t="s">
        <v>363</v>
      </c>
      <c r="B51" s="6">
        <v>48.100000000000009</v>
      </c>
    </row>
    <row r="52" spans="1:2" x14ac:dyDescent="0.3">
      <c r="A52" s="4" t="s">
        <v>278</v>
      </c>
      <c r="B52" s="6">
        <v>47</v>
      </c>
    </row>
    <row r="53" spans="1:2" x14ac:dyDescent="0.3">
      <c r="A53" s="4" t="s">
        <v>266</v>
      </c>
      <c r="B53" s="6">
        <v>46</v>
      </c>
    </row>
    <row r="54" spans="1:2" x14ac:dyDescent="0.3">
      <c r="A54" s="4" t="s">
        <v>349</v>
      </c>
      <c r="B54" s="6">
        <v>45.9</v>
      </c>
    </row>
    <row r="55" spans="1:2" x14ac:dyDescent="0.3">
      <c r="A55" s="4" t="s">
        <v>264</v>
      </c>
      <c r="B55" s="6">
        <v>44.6</v>
      </c>
    </row>
    <row r="56" spans="1:2" x14ac:dyDescent="0.3">
      <c r="A56" s="4" t="s">
        <v>366</v>
      </c>
      <c r="B56" s="6">
        <v>43.3</v>
      </c>
    </row>
    <row r="57" spans="1:2" x14ac:dyDescent="0.3">
      <c r="A57" s="4" t="s">
        <v>296</v>
      </c>
      <c r="B57" s="6">
        <v>43.2</v>
      </c>
    </row>
    <row r="58" spans="1:2" x14ac:dyDescent="0.3">
      <c r="A58" s="4" t="s">
        <v>280</v>
      </c>
      <c r="B58" s="6">
        <v>43</v>
      </c>
    </row>
    <row r="59" spans="1:2" x14ac:dyDescent="0.3">
      <c r="A59" s="4" t="s">
        <v>298</v>
      </c>
      <c r="B59" s="6">
        <v>42.9</v>
      </c>
    </row>
    <row r="60" spans="1:2" x14ac:dyDescent="0.3">
      <c r="A60" s="4" t="s">
        <v>338</v>
      </c>
      <c r="B60" s="6">
        <v>42.8</v>
      </c>
    </row>
    <row r="61" spans="1:2" x14ac:dyDescent="0.3">
      <c r="A61" s="4" t="s">
        <v>341</v>
      </c>
      <c r="B61" s="6">
        <v>41.6</v>
      </c>
    </row>
    <row r="62" spans="1:2" x14ac:dyDescent="0.3">
      <c r="A62" s="4" t="s">
        <v>257</v>
      </c>
      <c r="B62" s="6">
        <v>41.6</v>
      </c>
    </row>
    <row r="63" spans="1:2" x14ac:dyDescent="0.3">
      <c r="A63" s="4" t="s">
        <v>319</v>
      </c>
      <c r="B63" s="6">
        <v>41.6</v>
      </c>
    </row>
    <row r="64" spans="1:2" x14ac:dyDescent="0.3">
      <c r="A64" s="4" t="s">
        <v>285</v>
      </c>
      <c r="B64" s="6">
        <v>40.9</v>
      </c>
    </row>
    <row r="65" spans="1:2" x14ac:dyDescent="0.3">
      <c r="A65" s="4" t="s">
        <v>321</v>
      </c>
      <c r="B65" s="6">
        <v>40.599999999999994</v>
      </c>
    </row>
    <row r="66" spans="1:2" x14ac:dyDescent="0.3">
      <c r="A66" s="4" t="s">
        <v>282</v>
      </c>
      <c r="B66" s="6">
        <v>40.199999999999996</v>
      </c>
    </row>
    <row r="67" spans="1:2" x14ac:dyDescent="0.3">
      <c r="A67" s="4" t="s">
        <v>331</v>
      </c>
      <c r="B67" s="6">
        <v>39.400000000000006</v>
      </c>
    </row>
    <row r="68" spans="1:2" x14ac:dyDescent="0.3">
      <c r="A68" s="4" t="s">
        <v>279</v>
      </c>
      <c r="B68" s="6">
        <v>39.200000000000003</v>
      </c>
    </row>
    <row r="69" spans="1:2" x14ac:dyDescent="0.3">
      <c r="A69" s="4" t="s">
        <v>351</v>
      </c>
      <c r="B69" s="6">
        <v>38.900000000000006</v>
      </c>
    </row>
    <row r="70" spans="1:2" x14ac:dyDescent="0.3">
      <c r="A70" s="4" t="s">
        <v>326</v>
      </c>
      <c r="B70" s="6">
        <v>38.5</v>
      </c>
    </row>
    <row r="71" spans="1:2" x14ac:dyDescent="0.3">
      <c r="A71" s="4" t="s">
        <v>334</v>
      </c>
      <c r="B71" s="6">
        <v>37.799999999999997</v>
      </c>
    </row>
    <row r="72" spans="1:2" x14ac:dyDescent="0.3">
      <c r="A72" s="4" t="s">
        <v>254</v>
      </c>
      <c r="B72" s="6">
        <v>37.4</v>
      </c>
    </row>
    <row r="73" spans="1:2" x14ac:dyDescent="0.3">
      <c r="A73" s="4" t="s">
        <v>323</v>
      </c>
      <c r="B73" s="6">
        <v>37.35</v>
      </c>
    </row>
    <row r="74" spans="1:2" x14ac:dyDescent="0.3">
      <c r="A74" s="4" t="s">
        <v>295</v>
      </c>
      <c r="B74" s="6">
        <v>35.4</v>
      </c>
    </row>
    <row r="75" spans="1:2" x14ac:dyDescent="0.3">
      <c r="A75" s="4" t="s">
        <v>335</v>
      </c>
      <c r="B75" s="6">
        <v>35.200000000000003</v>
      </c>
    </row>
    <row r="76" spans="1:2" x14ac:dyDescent="0.3">
      <c r="A76" s="4" t="s">
        <v>253</v>
      </c>
      <c r="B76" s="6">
        <v>35.099999999999994</v>
      </c>
    </row>
    <row r="77" spans="1:2" x14ac:dyDescent="0.3">
      <c r="A77" s="4" t="s">
        <v>255</v>
      </c>
      <c r="B77" s="6">
        <v>34.900000000000006</v>
      </c>
    </row>
    <row r="78" spans="1:2" x14ac:dyDescent="0.3">
      <c r="A78" s="4" t="s">
        <v>330</v>
      </c>
      <c r="B78" s="6">
        <v>34.549999999999997</v>
      </c>
    </row>
    <row r="79" spans="1:2" x14ac:dyDescent="0.3">
      <c r="A79" s="4" t="s">
        <v>328</v>
      </c>
      <c r="B79" s="6">
        <v>34.4</v>
      </c>
    </row>
    <row r="80" spans="1:2" x14ac:dyDescent="0.3">
      <c r="A80" s="4" t="s">
        <v>346</v>
      </c>
      <c r="B80" s="6">
        <v>33.4</v>
      </c>
    </row>
    <row r="81" spans="1:2" x14ac:dyDescent="0.3">
      <c r="A81" s="4" t="s">
        <v>259</v>
      </c>
      <c r="B81" s="6">
        <v>33</v>
      </c>
    </row>
    <row r="82" spans="1:2" x14ac:dyDescent="0.3">
      <c r="A82" s="4" t="s">
        <v>263</v>
      </c>
      <c r="B82" s="6">
        <v>32.799999999999997</v>
      </c>
    </row>
    <row r="83" spans="1:2" x14ac:dyDescent="0.3">
      <c r="A83" s="4" t="s">
        <v>258</v>
      </c>
      <c r="B83" s="6">
        <v>32.6</v>
      </c>
    </row>
    <row r="84" spans="1:2" x14ac:dyDescent="0.3">
      <c r="A84" s="4" t="s">
        <v>340</v>
      </c>
      <c r="B84" s="6">
        <v>32.5</v>
      </c>
    </row>
    <row r="85" spans="1:2" x14ac:dyDescent="0.3">
      <c r="A85" s="4" t="s">
        <v>333</v>
      </c>
      <c r="B85" s="6">
        <v>32.299999999999997</v>
      </c>
    </row>
    <row r="86" spans="1:2" x14ac:dyDescent="0.3">
      <c r="A86" s="4" t="s">
        <v>332</v>
      </c>
      <c r="B86" s="6">
        <v>31.700000000000003</v>
      </c>
    </row>
    <row r="87" spans="1:2" x14ac:dyDescent="0.3">
      <c r="A87" s="4" t="s">
        <v>361</v>
      </c>
      <c r="B87" s="6">
        <v>31.4</v>
      </c>
    </row>
    <row r="88" spans="1:2" x14ac:dyDescent="0.3">
      <c r="A88" s="4" t="s">
        <v>344</v>
      </c>
      <c r="B88" s="6">
        <v>30.6</v>
      </c>
    </row>
    <row r="89" spans="1:2" x14ac:dyDescent="0.3">
      <c r="A89" s="4" t="s">
        <v>327</v>
      </c>
      <c r="B89" s="6">
        <v>29.7</v>
      </c>
    </row>
    <row r="90" spans="1:2" x14ac:dyDescent="0.3">
      <c r="A90" s="4" t="s">
        <v>352</v>
      </c>
      <c r="B90" s="6">
        <v>29.5</v>
      </c>
    </row>
    <row r="91" spans="1:2" x14ac:dyDescent="0.3">
      <c r="A91" s="4" t="s">
        <v>292</v>
      </c>
      <c r="B91" s="6">
        <v>27.8</v>
      </c>
    </row>
    <row r="92" spans="1:2" x14ac:dyDescent="0.3">
      <c r="A92" s="4" t="s">
        <v>247</v>
      </c>
      <c r="B92" s="6">
        <v>27</v>
      </c>
    </row>
    <row r="93" spans="1:2" x14ac:dyDescent="0.3">
      <c r="A93" s="4" t="s">
        <v>350</v>
      </c>
      <c r="B93" s="6">
        <v>26.799999999999997</v>
      </c>
    </row>
    <row r="94" spans="1:2" x14ac:dyDescent="0.3">
      <c r="A94" s="4" t="s">
        <v>248</v>
      </c>
      <c r="B94" s="6">
        <v>26.5</v>
      </c>
    </row>
    <row r="95" spans="1:2" x14ac:dyDescent="0.3">
      <c r="A95" s="4" t="s">
        <v>252</v>
      </c>
      <c r="B95" s="6">
        <v>26.299999999999997</v>
      </c>
    </row>
    <row r="96" spans="1:2" x14ac:dyDescent="0.3">
      <c r="A96" s="4" t="s">
        <v>246</v>
      </c>
      <c r="B96" s="6">
        <v>25.800000000000004</v>
      </c>
    </row>
    <row r="97" spans="1:2" x14ac:dyDescent="0.3">
      <c r="A97" s="4" t="s">
        <v>256</v>
      </c>
      <c r="B97" s="6">
        <v>25.1</v>
      </c>
    </row>
    <row r="98" spans="1:2" x14ac:dyDescent="0.3">
      <c r="A98" s="4" t="s">
        <v>329</v>
      </c>
      <c r="B98" s="6">
        <v>24.35</v>
      </c>
    </row>
    <row r="99" spans="1:2" x14ac:dyDescent="0.3">
      <c r="A99" s="4" t="s">
        <v>360</v>
      </c>
      <c r="B99" s="6">
        <v>23.9</v>
      </c>
    </row>
    <row r="100" spans="1:2" x14ac:dyDescent="0.3">
      <c r="A100" s="4" t="s">
        <v>277</v>
      </c>
      <c r="B100" s="6">
        <v>23.7</v>
      </c>
    </row>
    <row r="101" spans="1:2" x14ac:dyDescent="0.3">
      <c r="A101" s="4" t="s">
        <v>303</v>
      </c>
      <c r="B101" s="6">
        <v>23.3</v>
      </c>
    </row>
    <row r="102" spans="1:2" x14ac:dyDescent="0.3">
      <c r="A102" s="4" t="s">
        <v>365</v>
      </c>
      <c r="B102" s="6">
        <v>23.1</v>
      </c>
    </row>
    <row r="103" spans="1:2" x14ac:dyDescent="0.3">
      <c r="A103" s="4" t="s">
        <v>305</v>
      </c>
      <c r="B103" s="6">
        <v>22.6</v>
      </c>
    </row>
    <row r="104" spans="1:2" x14ac:dyDescent="0.3">
      <c r="A104" s="4" t="s">
        <v>301</v>
      </c>
      <c r="B104" s="6">
        <v>22.1</v>
      </c>
    </row>
    <row r="105" spans="1:2" x14ac:dyDescent="0.3">
      <c r="A105" s="4" t="s">
        <v>249</v>
      </c>
      <c r="B105" s="6">
        <v>21.4</v>
      </c>
    </row>
    <row r="106" spans="1:2" x14ac:dyDescent="0.3">
      <c r="A106" s="4" t="s">
        <v>261</v>
      </c>
      <c r="B106" s="6">
        <v>21.4</v>
      </c>
    </row>
    <row r="107" spans="1:2" x14ac:dyDescent="0.3">
      <c r="A107" s="4" t="s">
        <v>294</v>
      </c>
      <c r="B107" s="6">
        <v>20.8</v>
      </c>
    </row>
    <row r="108" spans="1:2" x14ac:dyDescent="0.3">
      <c r="A108" s="4" t="s">
        <v>250</v>
      </c>
      <c r="B108" s="6">
        <v>20.7</v>
      </c>
    </row>
    <row r="109" spans="1:2" x14ac:dyDescent="0.3">
      <c r="A109" s="4" t="s">
        <v>309</v>
      </c>
      <c r="B109" s="6">
        <v>20.399999999999999</v>
      </c>
    </row>
    <row r="110" spans="1:2" x14ac:dyDescent="0.3">
      <c r="A110" s="4" t="s">
        <v>251</v>
      </c>
      <c r="B110" s="6">
        <v>20</v>
      </c>
    </row>
    <row r="111" spans="1:2" x14ac:dyDescent="0.3">
      <c r="A111" s="4" t="s">
        <v>265</v>
      </c>
      <c r="B111" s="6">
        <v>20</v>
      </c>
    </row>
    <row r="112" spans="1:2" x14ac:dyDescent="0.3">
      <c r="A112" s="4" t="s">
        <v>307</v>
      </c>
      <c r="B112" s="6">
        <v>19.95</v>
      </c>
    </row>
    <row r="113" spans="1:2" x14ac:dyDescent="0.3">
      <c r="A113" s="4" t="s">
        <v>317</v>
      </c>
      <c r="B113" s="6">
        <v>19.700000000000003</v>
      </c>
    </row>
    <row r="114" spans="1:2" x14ac:dyDescent="0.3">
      <c r="A114" s="4" t="s">
        <v>359</v>
      </c>
      <c r="B114" s="6">
        <v>19.600000000000001</v>
      </c>
    </row>
    <row r="115" spans="1:2" x14ac:dyDescent="0.3">
      <c r="A115" s="4" t="s">
        <v>300</v>
      </c>
      <c r="B115" s="6">
        <v>19.100000000000001</v>
      </c>
    </row>
    <row r="116" spans="1:2" x14ac:dyDescent="0.3">
      <c r="A116" s="4" t="s">
        <v>314</v>
      </c>
      <c r="B116" s="6">
        <v>19</v>
      </c>
    </row>
    <row r="117" spans="1:2" x14ac:dyDescent="0.3">
      <c r="A117" s="4" t="s">
        <v>267</v>
      </c>
      <c r="B117" s="6">
        <v>18.299999999999997</v>
      </c>
    </row>
    <row r="118" spans="1:2" x14ac:dyDescent="0.3">
      <c r="A118" s="4" t="s">
        <v>302</v>
      </c>
      <c r="B118" s="6">
        <v>18.100000000000001</v>
      </c>
    </row>
    <row r="119" spans="1:2" x14ac:dyDescent="0.3">
      <c r="A119" s="4" t="s">
        <v>297</v>
      </c>
      <c r="B119" s="6">
        <v>17.8</v>
      </c>
    </row>
    <row r="120" spans="1:2" x14ac:dyDescent="0.3">
      <c r="A120" s="4" t="s">
        <v>304</v>
      </c>
      <c r="B120" s="6">
        <v>17.7</v>
      </c>
    </row>
    <row r="121" spans="1:2" x14ac:dyDescent="0.3">
      <c r="A121" s="4" t="s">
        <v>318</v>
      </c>
      <c r="B121" s="6">
        <v>17.7</v>
      </c>
    </row>
    <row r="122" spans="1:2" x14ac:dyDescent="0.3">
      <c r="A122" s="4" t="s">
        <v>316</v>
      </c>
      <c r="B122" s="6">
        <v>17.25</v>
      </c>
    </row>
    <row r="123" spans="1:2" x14ac:dyDescent="0.3">
      <c r="A123" s="4" t="s">
        <v>313</v>
      </c>
      <c r="B123" s="6">
        <v>16.75</v>
      </c>
    </row>
    <row r="124" spans="1:2" x14ac:dyDescent="0.3">
      <c r="A124" s="4" t="s">
        <v>306</v>
      </c>
      <c r="B124" s="6">
        <v>16.600000000000001</v>
      </c>
    </row>
    <row r="125" spans="1:2" x14ac:dyDescent="0.3">
      <c r="A125" s="4" t="s">
        <v>315</v>
      </c>
      <c r="B125" s="6">
        <v>15.85</v>
      </c>
    </row>
    <row r="126" spans="1:2" x14ac:dyDescent="0.3">
      <c r="A126" s="4" t="s">
        <v>308</v>
      </c>
      <c r="B126" s="6">
        <v>15.399999999999999</v>
      </c>
    </row>
    <row r="127" spans="1:2" x14ac:dyDescent="0.3">
      <c r="A127" s="4" t="s">
        <v>299</v>
      </c>
      <c r="B127" s="6">
        <v>14.6</v>
      </c>
    </row>
    <row r="128" spans="1:2" x14ac:dyDescent="0.3">
      <c r="A128" s="4" t="s">
        <v>310</v>
      </c>
      <c r="B128" s="6">
        <v>14.350000000000001</v>
      </c>
    </row>
    <row r="129" spans="1:2" x14ac:dyDescent="0.3">
      <c r="A129" s="4" t="s">
        <v>312</v>
      </c>
      <c r="B129" s="6">
        <v>14.25</v>
      </c>
    </row>
    <row r="130" spans="1:2" x14ac:dyDescent="0.3">
      <c r="A130" s="4" t="s">
        <v>311</v>
      </c>
      <c r="B130" s="6">
        <v>12.6</v>
      </c>
    </row>
    <row r="131" spans="1:2" x14ac:dyDescent="0.3">
      <c r="A131" s="4" t="s">
        <v>276</v>
      </c>
      <c r="B131" s="6">
        <v>0</v>
      </c>
    </row>
    <row r="132" spans="1:2" x14ac:dyDescent="0.3">
      <c r="A132" s="4" t="s">
        <v>374</v>
      </c>
      <c r="B132" s="6">
        <v>0</v>
      </c>
    </row>
    <row r="133" spans="1:2" x14ac:dyDescent="0.3">
      <c r="A133" s="4" t="s">
        <v>339</v>
      </c>
      <c r="B133" s="6">
        <v>0</v>
      </c>
    </row>
    <row r="134" spans="1:2" x14ac:dyDescent="0.3">
      <c r="A134" s="4" t="s">
        <v>362</v>
      </c>
      <c r="B134" s="6">
        <v>0</v>
      </c>
    </row>
    <row r="135" spans="1:2" x14ac:dyDescent="0.3">
      <c r="A135" s="3" t="s">
        <v>190</v>
      </c>
      <c r="B135" s="6">
        <v>5200.0999999999995</v>
      </c>
    </row>
    <row r="136" spans="1:2" x14ac:dyDescent="0.3">
      <c r="A136" s="4" t="s">
        <v>395</v>
      </c>
      <c r="B136" s="6">
        <v>243.4</v>
      </c>
    </row>
    <row r="137" spans="1:2" x14ac:dyDescent="0.3">
      <c r="A137" s="4" t="s">
        <v>396</v>
      </c>
      <c r="B137" s="6">
        <v>213.29999999999998</v>
      </c>
    </row>
    <row r="138" spans="1:2" x14ac:dyDescent="0.3">
      <c r="A138" s="4" t="s">
        <v>397</v>
      </c>
      <c r="B138" s="6">
        <v>211.20000000000002</v>
      </c>
    </row>
    <row r="139" spans="1:2" x14ac:dyDescent="0.3">
      <c r="A139" s="4" t="s">
        <v>403</v>
      </c>
      <c r="B139" s="6">
        <v>208.8</v>
      </c>
    </row>
    <row r="140" spans="1:2" x14ac:dyDescent="0.3">
      <c r="A140" s="4" t="s">
        <v>404</v>
      </c>
      <c r="B140" s="6">
        <v>204.5</v>
      </c>
    </row>
    <row r="141" spans="1:2" x14ac:dyDescent="0.3">
      <c r="A141" s="4" t="s">
        <v>402</v>
      </c>
      <c r="B141" s="6">
        <v>202.9</v>
      </c>
    </row>
    <row r="142" spans="1:2" x14ac:dyDescent="0.3">
      <c r="A142" s="4" t="s">
        <v>378</v>
      </c>
      <c r="B142" s="6">
        <v>200.39999999999998</v>
      </c>
    </row>
    <row r="143" spans="1:2" x14ac:dyDescent="0.3">
      <c r="A143" s="4" t="s">
        <v>393</v>
      </c>
      <c r="B143" s="6">
        <v>198.2</v>
      </c>
    </row>
    <row r="144" spans="1:2" x14ac:dyDescent="0.3">
      <c r="A144" s="4" t="s">
        <v>377</v>
      </c>
      <c r="B144" s="6">
        <v>196.5</v>
      </c>
    </row>
    <row r="145" spans="1:2" x14ac:dyDescent="0.3">
      <c r="A145" s="4" t="s">
        <v>394</v>
      </c>
      <c r="B145" s="6">
        <v>196.39999999999998</v>
      </c>
    </row>
    <row r="146" spans="1:2" x14ac:dyDescent="0.3">
      <c r="A146" s="4" t="s">
        <v>375</v>
      </c>
      <c r="B146" s="6">
        <v>190.3</v>
      </c>
    </row>
    <row r="147" spans="1:2" x14ac:dyDescent="0.3">
      <c r="A147" s="4" t="s">
        <v>376</v>
      </c>
      <c r="B147" s="6">
        <v>188.1</v>
      </c>
    </row>
    <row r="148" spans="1:2" x14ac:dyDescent="0.3">
      <c r="A148" s="4" t="s">
        <v>379</v>
      </c>
      <c r="B148" s="6">
        <v>186.59999999999997</v>
      </c>
    </row>
    <row r="149" spans="1:2" x14ac:dyDescent="0.3">
      <c r="A149" s="4" t="s">
        <v>380</v>
      </c>
      <c r="B149" s="6">
        <v>182.79999999999998</v>
      </c>
    </row>
    <row r="150" spans="1:2" x14ac:dyDescent="0.3">
      <c r="A150" s="4" t="s">
        <v>392</v>
      </c>
      <c r="B150" s="6">
        <v>182.29999999999998</v>
      </c>
    </row>
    <row r="151" spans="1:2" x14ac:dyDescent="0.3">
      <c r="A151" s="4" t="s">
        <v>399</v>
      </c>
      <c r="B151" s="6">
        <v>169.39999999999998</v>
      </c>
    </row>
    <row r="152" spans="1:2" x14ac:dyDescent="0.3">
      <c r="A152" s="4" t="s">
        <v>400</v>
      </c>
      <c r="B152" s="6">
        <v>167.60000000000002</v>
      </c>
    </row>
    <row r="153" spans="1:2" x14ac:dyDescent="0.3">
      <c r="A153" s="4" t="s">
        <v>401</v>
      </c>
      <c r="B153" s="6">
        <v>166.39999999999998</v>
      </c>
    </row>
    <row r="154" spans="1:2" x14ac:dyDescent="0.3">
      <c r="A154" s="4" t="s">
        <v>398</v>
      </c>
      <c r="B154" s="6">
        <v>156.4</v>
      </c>
    </row>
    <row r="155" spans="1:2" x14ac:dyDescent="0.3">
      <c r="A155" s="4" t="s">
        <v>390</v>
      </c>
      <c r="B155" s="6">
        <v>149.10000000000002</v>
      </c>
    </row>
    <row r="156" spans="1:2" x14ac:dyDescent="0.3">
      <c r="A156" s="4" t="s">
        <v>389</v>
      </c>
      <c r="B156" s="6">
        <v>147.60000000000002</v>
      </c>
    </row>
    <row r="157" spans="1:2" x14ac:dyDescent="0.3">
      <c r="A157" s="4" t="s">
        <v>391</v>
      </c>
      <c r="B157" s="6">
        <v>147.30000000000001</v>
      </c>
    </row>
    <row r="158" spans="1:2" x14ac:dyDescent="0.3">
      <c r="A158" s="4" t="s">
        <v>388</v>
      </c>
      <c r="B158" s="6">
        <v>147.19999999999999</v>
      </c>
    </row>
    <row r="159" spans="1:2" x14ac:dyDescent="0.3">
      <c r="A159" s="4" t="s">
        <v>382</v>
      </c>
      <c r="B159" s="6">
        <v>138.69999999999999</v>
      </c>
    </row>
    <row r="160" spans="1:2" x14ac:dyDescent="0.3">
      <c r="A160" s="4" t="s">
        <v>386</v>
      </c>
      <c r="B160" s="6">
        <v>137.80000000000001</v>
      </c>
    </row>
    <row r="161" spans="1:2" x14ac:dyDescent="0.3">
      <c r="A161" s="4" t="s">
        <v>383</v>
      </c>
      <c r="B161" s="6">
        <v>136.5</v>
      </c>
    </row>
    <row r="162" spans="1:2" x14ac:dyDescent="0.3">
      <c r="A162" s="4" t="s">
        <v>385</v>
      </c>
      <c r="B162" s="6">
        <v>136</v>
      </c>
    </row>
    <row r="163" spans="1:2" x14ac:dyDescent="0.3">
      <c r="A163" s="4" t="s">
        <v>387</v>
      </c>
      <c r="B163" s="6">
        <v>134.19999999999999</v>
      </c>
    </row>
    <row r="164" spans="1:2" x14ac:dyDescent="0.3">
      <c r="A164" s="4" t="s">
        <v>384</v>
      </c>
      <c r="B164" s="6">
        <v>132.10000000000002</v>
      </c>
    </row>
    <row r="165" spans="1:2" x14ac:dyDescent="0.3">
      <c r="A165" s="4" t="s">
        <v>381</v>
      </c>
      <c r="B165" s="6">
        <v>128.1</v>
      </c>
    </row>
    <row r="166" spans="1:2" x14ac:dyDescent="0.3">
      <c r="A166" s="3" t="s">
        <v>26</v>
      </c>
      <c r="B166" s="6">
        <v>2701.6</v>
      </c>
    </row>
    <row r="167" spans="1:2" x14ac:dyDescent="0.3">
      <c r="A167" s="4" t="s">
        <v>410</v>
      </c>
      <c r="B167" s="6">
        <v>224.79999999999998</v>
      </c>
    </row>
    <row r="168" spans="1:2" x14ac:dyDescent="0.3">
      <c r="A168" s="4" t="s">
        <v>413</v>
      </c>
      <c r="B168" s="6">
        <v>222.9</v>
      </c>
    </row>
    <row r="169" spans="1:2" x14ac:dyDescent="0.3">
      <c r="A169" s="4" t="s">
        <v>412</v>
      </c>
      <c r="B169" s="6">
        <v>206.5</v>
      </c>
    </row>
    <row r="170" spans="1:2" x14ac:dyDescent="0.3">
      <c r="A170" s="4" t="s">
        <v>411</v>
      </c>
      <c r="B170" s="6">
        <v>191</v>
      </c>
    </row>
    <row r="171" spans="1:2" x14ac:dyDescent="0.3">
      <c r="A171" s="4" t="s">
        <v>407</v>
      </c>
      <c r="B171" s="6">
        <v>183.7</v>
      </c>
    </row>
    <row r="172" spans="1:2" x14ac:dyDescent="0.3">
      <c r="A172" s="4" t="s">
        <v>414</v>
      </c>
      <c r="B172" s="6">
        <v>183.00000000000003</v>
      </c>
    </row>
    <row r="173" spans="1:2" x14ac:dyDescent="0.3">
      <c r="A173" s="4" t="s">
        <v>406</v>
      </c>
      <c r="B173" s="6">
        <v>176.39999999999998</v>
      </c>
    </row>
    <row r="174" spans="1:2" x14ac:dyDescent="0.3">
      <c r="A174" s="4" t="s">
        <v>408</v>
      </c>
      <c r="B174" s="6">
        <v>173.8</v>
      </c>
    </row>
    <row r="175" spans="1:2" x14ac:dyDescent="0.3">
      <c r="A175" s="4" t="s">
        <v>409</v>
      </c>
      <c r="B175" s="6">
        <v>173.7</v>
      </c>
    </row>
    <row r="176" spans="1:2" x14ac:dyDescent="0.3">
      <c r="A176" s="4" t="s">
        <v>415</v>
      </c>
      <c r="B176" s="6">
        <v>168.49999999999997</v>
      </c>
    </row>
    <row r="177" spans="1:2" x14ac:dyDescent="0.3">
      <c r="A177" s="4" t="s">
        <v>421</v>
      </c>
      <c r="B177" s="6">
        <v>165.39999999999998</v>
      </c>
    </row>
    <row r="178" spans="1:2" x14ac:dyDescent="0.3">
      <c r="A178" s="4" t="s">
        <v>420</v>
      </c>
      <c r="B178" s="6">
        <v>133.89999999999998</v>
      </c>
    </row>
    <row r="179" spans="1:2" x14ac:dyDescent="0.3">
      <c r="A179" s="4" t="s">
        <v>419</v>
      </c>
      <c r="B179" s="6">
        <v>133.30000000000001</v>
      </c>
    </row>
    <row r="180" spans="1:2" x14ac:dyDescent="0.3">
      <c r="A180" s="4" t="s">
        <v>416</v>
      </c>
      <c r="B180" s="6">
        <v>127.80000000000001</v>
      </c>
    </row>
    <row r="181" spans="1:2" x14ac:dyDescent="0.3">
      <c r="A181" s="4" t="s">
        <v>418</v>
      </c>
      <c r="B181" s="6">
        <v>119.19999999999999</v>
      </c>
    </row>
    <row r="182" spans="1:2" x14ac:dyDescent="0.3">
      <c r="A182" s="4" t="s">
        <v>417</v>
      </c>
      <c r="B182" s="6">
        <v>117.70000000000002</v>
      </c>
    </row>
    <row r="183" spans="1:2" x14ac:dyDescent="0.3">
      <c r="A183" s="3" t="s">
        <v>243</v>
      </c>
      <c r="B183" s="6">
        <v>13364.05</v>
      </c>
    </row>
  </sheetData>
  <pageMargins left="0.7" right="0.7" top="0.75" bottom="0.75" header="0.3" footer="0.3"/>
  <pageSetup orientation="portrait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5C295-7264-41CD-B86E-36F2B6ED7C43}">
  <sheetPr codeName="Sheet39"/>
  <dimension ref="A1:AL177"/>
  <sheetViews>
    <sheetView topLeftCell="AA125" workbookViewId="0">
      <selection activeCell="N35" sqref="N35"/>
    </sheetView>
  </sheetViews>
  <sheetFormatPr defaultRowHeight="14.4" x14ac:dyDescent="0.3"/>
  <cols>
    <col min="1" max="3" width="4.5546875" customWidth="1"/>
    <col min="4" max="4" width="14.109375" bestFit="1" customWidth="1"/>
    <col min="5" max="5" width="15" bestFit="1" customWidth="1"/>
    <col min="6" max="6" width="12.6640625" bestFit="1" customWidth="1"/>
    <col min="7" max="7" width="32.5546875" bestFit="1" customWidth="1"/>
    <col min="8" max="8" width="48.5546875" bestFit="1" customWidth="1"/>
    <col min="9" max="9" width="10.33203125" bestFit="1" customWidth="1"/>
    <col min="10" max="30" width="7.88671875" customWidth="1"/>
    <col min="31" max="31" width="6.88671875" bestFit="1" customWidth="1"/>
    <col min="32" max="32" width="7.33203125" bestFit="1" customWidth="1"/>
    <col min="33" max="33" width="12.44140625" bestFit="1" customWidth="1"/>
    <col min="34" max="34" width="6.5546875" style="5" bestFit="1" customWidth="1"/>
    <col min="35" max="35" width="14.5546875" bestFit="1" customWidth="1"/>
    <col min="36" max="36" width="7.5546875" bestFit="1" customWidth="1"/>
    <col min="37" max="37" width="16" bestFit="1" customWidth="1"/>
    <col min="38" max="38" width="16" customWidth="1"/>
  </cols>
  <sheetData>
    <row r="1" spans="1:38" ht="57.6" x14ac:dyDescent="0.3">
      <c r="A1" t="s">
        <v>205</v>
      </c>
      <c r="B1" t="s">
        <v>19</v>
      </c>
      <c r="C1" t="s">
        <v>0</v>
      </c>
      <c r="D1" t="s">
        <v>20</v>
      </c>
      <c r="E1" t="s">
        <v>21</v>
      </c>
      <c r="F1" t="s">
        <v>1</v>
      </c>
      <c r="G1" t="s">
        <v>2</v>
      </c>
      <c r="H1" t="s">
        <v>3</v>
      </c>
      <c r="I1" t="s">
        <v>4</v>
      </c>
      <c r="J1" s="1" t="s">
        <v>5</v>
      </c>
      <c r="K1" s="1" t="s">
        <v>6</v>
      </c>
      <c r="L1" s="1" t="s">
        <v>40</v>
      </c>
      <c r="M1" s="1" t="s">
        <v>7</v>
      </c>
      <c r="N1" s="1" t="s">
        <v>8</v>
      </c>
      <c r="O1" s="1" t="s">
        <v>9</v>
      </c>
      <c r="P1" s="1" t="s">
        <v>37</v>
      </c>
      <c r="Q1" s="1" t="s">
        <v>10</v>
      </c>
      <c r="R1" s="1" t="s">
        <v>119</v>
      </c>
      <c r="S1" s="1" t="s">
        <v>11</v>
      </c>
      <c r="T1" s="1" t="s">
        <v>38</v>
      </c>
      <c r="U1" s="1" t="s">
        <v>12</v>
      </c>
      <c r="V1" s="1" t="s">
        <v>22</v>
      </c>
      <c r="W1" s="1" t="s">
        <v>13</v>
      </c>
      <c r="X1" s="1" t="s">
        <v>39</v>
      </c>
      <c r="Y1" s="1" t="s">
        <v>14</v>
      </c>
      <c r="Z1" s="1" t="s">
        <v>120</v>
      </c>
      <c r="AA1" s="1" t="s">
        <v>121</v>
      </c>
      <c r="AB1" s="1" t="s">
        <v>122</v>
      </c>
      <c r="AC1" s="1" t="s">
        <v>123</v>
      </c>
      <c r="AD1" s="1" t="s">
        <v>16</v>
      </c>
      <c r="AE1" t="s">
        <v>34</v>
      </c>
      <c r="AF1" t="s">
        <v>35</v>
      </c>
      <c r="AG1" t="s">
        <v>36</v>
      </c>
      <c r="AH1" s="5" t="s">
        <v>15</v>
      </c>
      <c r="AI1" t="s">
        <v>17</v>
      </c>
      <c r="AJ1" t="s">
        <v>18</v>
      </c>
      <c r="AK1" t="s">
        <v>41</v>
      </c>
      <c r="AL1" t="s">
        <v>244</v>
      </c>
    </row>
    <row r="2" spans="1:38" x14ac:dyDescent="0.3">
      <c r="A2" t="s">
        <v>206</v>
      </c>
      <c r="B2">
        <v>1</v>
      </c>
      <c r="C2">
        <v>1</v>
      </c>
      <c r="D2" t="s">
        <v>42</v>
      </c>
      <c r="E2" t="s">
        <v>30</v>
      </c>
      <c r="F2" t="s">
        <v>124</v>
      </c>
      <c r="G2" t="s">
        <v>125</v>
      </c>
      <c r="H2" t="s">
        <v>49</v>
      </c>
      <c r="I2" t="s">
        <v>25</v>
      </c>
      <c r="J2">
        <v>19.100000000000001</v>
      </c>
      <c r="K2">
        <v>0</v>
      </c>
      <c r="L2">
        <v>19.100000000000001</v>
      </c>
      <c r="M2">
        <v>1</v>
      </c>
      <c r="P2">
        <v>0</v>
      </c>
      <c r="Q2">
        <v>1</v>
      </c>
      <c r="T2">
        <v>0</v>
      </c>
      <c r="U2">
        <v>1</v>
      </c>
      <c r="V2">
        <v>18</v>
      </c>
      <c r="W2">
        <v>0</v>
      </c>
      <c r="X2">
        <v>18</v>
      </c>
      <c r="Y2">
        <v>1</v>
      </c>
      <c r="Z2">
        <v>18.899999999999999</v>
      </c>
      <c r="AA2">
        <v>0</v>
      </c>
      <c r="AB2">
        <v>18.899999999999999</v>
      </c>
      <c r="AC2">
        <v>1</v>
      </c>
      <c r="AD2">
        <v>56</v>
      </c>
      <c r="AG2">
        <v>56</v>
      </c>
      <c r="AH2" s="5">
        <v>18.666666666666668</v>
      </c>
      <c r="AI2">
        <v>56</v>
      </c>
      <c r="AJ2">
        <v>1</v>
      </c>
      <c r="AK2" t="s">
        <v>33</v>
      </c>
      <c r="AL2" t="s">
        <v>245</v>
      </c>
    </row>
    <row r="3" spans="1:38" x14ac:dyDescent="0.3">
      <c r="A3" t="s">
        <v>206</v>
      </c>
      <c r="B3">
        <v>5</v>
      </c>
      <c r="C3">
        <v>1</v>
      </c>
      <c r="D3" t="s">
        <v>42</v>
      </c>
      <c r="E3" t="s">
        <v>30</v>
      </c>
      <c r="F3" t="s">
        <v>124</v>
      </c>
      <c r="G3" t="s">
        <v>127</v>
      </c>
      <c r="H3" t="s">
        <v>49</v>
      </c>
      <c r="I3" t="s">
        <v>25</v>
      </c>
      <c r="J3">
        <v>9.4</v>
      </c>
      <c r="K3">
        <v>0.5</v>
      </c>
      <c r="L3">
        <v>8.9</v>
      </c>
      <c r="M3">
        <v>2</v>
      </c>
      <c r="P3">
        <v>0</v>
      </c>
      <c r="Q3">
        <v>1</v>
      </c>
      <c r="T3">
        <v>0</v>
      </c>
      <c r="U3">
        <v>1</v>
      </c>
      <c r="V3">
        <v>10.1</v>
      </c>
      <c r="W3">
        <v>0.5</v>
      </c>
      <c r="X3">
        <v>9.6</v>
      </c>
      <c r="Y3">
        <v>2</v>
      </c>
      <c r="Z3">
        <v>9</v>
      </c>
      <c r="AA3">
        <v>0.5</v>
      </c>
      <c r="AB3">
        <v>8.5</v>
      </c>
      <c r="AC3">
        <v>2</v>
      </c>
      <c r="AD3">
        <v>27</v>
      </c>
      <c r="AG3">
        <v>27</v>
      </c>
      <c r="AH3" s="5">
        <v>9.5</v>
      </c>
      <c r="AI3">
        <v>27</v>
      </c>
      <c r="AJ3">
        <v>2</v>
      </c>
      <c r="AK3" t="s">
        <v>33</v>
      </c>
      <c r="AL3" t="s">
        <v>247</v>
      </c>
    </row>
    <row r="4" spans="1:38" x14ac:dyDescent="0.3">
      <c r="A4" t="s">
        <v>206</v>
      </c>
      <c r="B4">
        <v>3</v>
      </c>
      <c r="C4">
        <v>1</v>
      </c>
      <c r="D4" t="s">
        <v>42</v>
      </c>
      <c r="E4" t="s">
        <v>30</v>
      </c>
      <c r="F4" t="s">
        <v>124</v>
      </c>
      <c r="G4" t="s">
        <v>126</v>
      </c>
      <c r="H4" t="s">
        <v>49</v>
      </c>
      <c r="I4" t="s">
        <v>25</v>
      </c>
      <c r="J4">
        <v>8.5</v>
      </c>
      <c r="K4">
        <v>0.2</v>
      </c>
      <c r="L4">
        <v>8.3000000000000007</v>
      </c>
      <c r="M4">
        <v>3</v>
      </c>
      <c r="P4">
        <v>0</v>
      </c>
      <c r="Q4">
        <v>1</v>
      </c>
      <c r="T4">
        <v>0</v>
      </c>
      <c r="U4">
        <v>1</v>
      </c>
      <c r="V4">
        <v>9.3000000000000007</v>
      </c>
      <c r="W4">
        <v>0.2</v>
      </c>
      <c r="X4">
        <v>9.1000000000000014</v>
      </c>
      <c r="Y4">
        <v>3</v>
      </c>
      <c r="Z4">
        <v>8.6</v>
      </c>
      <c r="AA4">
        <v>0.2</v>
      </c>
      <c r="AB4">
        <v>8.4</v>
      </c>
      <c r="AC4">
        <v>3</v>
      </c>
      <c r="AD4">
        <v>25.800000000000004</v>
      </c>
      <c r="AG4">
        <v>25.800000000000004</v>
      </c>
      <c r="AH4" s="5">
        <v>8.7999999999999989</v>
      </c>
      <c r="AI4">
        <v>25.800000000000004</v>
      </c>
      <c r="AJ4">
        <v>3</v>
      </c>
      <c r="AK4" t="s">
        <v>33</v>
      </c>
      <c r="AL4" t="s">
        <v>246</v>
      </c>
    </row>
    <row r="5" spans="1:38" x14ac:dyDescent="0.3">
      <c r="A5" t="s">
        <v>207</v>
      </c>
      <c r="B5">
        <v>2</v>
      </c>
      <c r="C5">
        <v>2</v>
      </c>
      <c r="D5" t="s">
        <v>42</v>
      </c>
      <c r="E5" t="s">
        <v>23</v>
      </c>
      <c r="F5" t="s">
        <v>51</v>
      </c>
      <c r="G5" t="s">
        <v>128</v>
      </c>
      <c r="H5" t="s">
        <v>32</v>
      </c>
      <c r="I5" t="s">
        <v>25</v>
      </c>
      <c r="L5">
        <v>0</v>
      </c>
      <c r="M5">
        <v>1</v>
      </c>
      <c r="N5">
        <v>13.7</v>
      </c>
      <c r="O5">
        <v>0.6</v>
      </c>
      <c r="P5">
        <v>13.1</v>
      </c>
      <c r="Q5">
        <v>1</v>
      </c>
      <c r="R5">
        <v>14</v>
      </c>
      <c r="S5">
        <v>0.6</v>
      </c>
      <c r="T5">
        <v>13.4</v>
      </c>
      <c r="U5">
        <v>1</v>
      </c>
      <c r="X5">
        <v>0</v>
      </c>
      <c r="Y5">
        <v>1</v>
      </c>
      <c r="AB5">
        <v>0</v>
      </c>
      <c r="AC5">
        <v>1</v>
      </c>
      <c r="AD5">
        <v>26.5</v>
      </c>
      <c r="AG5">
        <v>26.5</v>
      </c>
      <c r="AH5" s="5">
        <v>13.85</v>
      </c>
      <c r="AI5">
        <v>26.5</v>
      </c>
      <c r="AJ5">
        <v>1</v>
      </c>
      <c r="AK5" t="s">
        <v>33</v>
      </c>
      <c r="AL5" t="s">
        <v>248</v>
      </c>
    </row>
    <row r="6" spans="1:38" x14ac:dyDescent="0.3">
      <c r="A6" t="s">
        <v>207</v>
      </c>
      <c r="B6">
        <v>10</v>
      </c>
      <c r="C6">
        <v>2</v>
      </c>
      <c r="D6" t="s">
        <v>42</v>
      </c>
      <c r="E6" t="s">
        <v>23</v>
      </c>
      <c r="F6" t="s">
        <v>51</v>
      </c>
      <c r="G6" t="s">
        <v>130</v>
      </c>
      <c r="H6" t="s">
        <v>49</v>
      </c>
      <c r="I6" t="s">
        <v>25</v>
      </c>
      <c r="L6">
        <v>0</v>
      </c>
      <c r="M6">
        <v>1</v>
      </c>
      <c r="N6">
        <v>13.4</v>
      </c>
      <c r="O6">
        <v>0.4</v>
      </c>
      <c r="P6">
        <v>13</v>
      </c>
      <c r="Q6">
        <v>2</v>
      </c>
      <c r="R6">
        <v>13.7</v>
      </c>
      <c r="S6">
        <v>0.4</v>
      </c>
      <c r="T6">
        <v>13.299999999999999</v>
      </c>
      <c r="U6">
        <v>2</v>
      </c>
      <c r="X6">
        <v>0</v>
      </c>
      <c r="Y6">
        <v>1</v>
      </c>
      <c r="AB6">
        <v>0</v>
      </c>
      <c r="AC6">
        <v>1</v>
      </c>
      <c r="AD6">
        <v>26.299999999999997</v>
      </c>
      <c r="AG6">
        <v>26.299999999999997</v>
      </c>
      <c r="AH6" s="5">
        <v>13.55</v>
      </c>
      <c r="AI6">
        <v>26.299999999999997</v>
      </c>
      <c r="AJ6">
        <v>2</v>
      </c>
      <c r="AK6" t="s">
        <v>33</v>
      </c>
      <c r="AL6" t="s">
        <v>252</v>
      </c>
    </row>
    <row r="7" spans="1:38" x14ac:dyDescent="0.3">
      <c r="A7" t="s">
        <v>207</v>
      </c>
      <c r="B7">
        <v>4</v>
      </c>
      <c r="C7">
        <v>2</v>
      </c>
      <c r="D7" t="s">
        <v>42</v>
      </c>
      <c r="E7" t="s">
        <v>23</v>
      </c>
      <c r="F7" t="s">
        <v>51</v>
      </c>
      <c r="G7" t="s">
        <v>54</v>
      </c>
      <c r="H7" t="s">
        <v>24</v>
      </c>
      <c r="I7" t="s">
        <v>25</v>
      </c>
      <c r="L7">
        <v>0</v>
      </c>
      <c r="M7">
        <v>1</v>
      </c>
      <c r="N7">
        <v>10.7</v>
      </c>
      <c r="O7">
        <v>0.1</v>
      </c>
      <c r="P7">
        <v>10.6</v>
      </c>
      <c r="Q7">
        <v>3</v>
      </c>
      <c r="R7">
        <v>10.9</v>
      </c>
      <c r="S7">
        <v>0.1</v>
      </c>
      <c r="T7">
        <v>10.8</v>
      </c>
      <c r="U7">
        <v>3</v>
      </c>
      <c r="X7">
        <v>0</v>
      </c>
      <c r="Y7">
        <v>1</v>
      </c>
      <c r="AB7">
        <v>0</v>
      </c>
      <c r="AC7">
        <v>1</v>
      </c>
      <c r="AD7">
        <v>21.4</v>
      </c>
      <c r="AG7">
        <v>21.4</v>
      </c>
      <c r="AH7" s="5">
        <v>10.8</v>
      </c>
      <c r="AI7">
        <v>21.4</v>
      </c>
      <c r="AJ7">
        <v>3</v>
      </c>
      <c r="AK7" t="s">
        <v>33</v>
      </c>
      <c r="AL7" t="s">
        <v>249</v>
      </c>
    </row>
    <row r="8" spans="1:38" x14ac:dyDescent="0.3">
      <c r="A8" t="s">
        <v>207</v>
      </c>
      <c r="B8">
        <v>6</v>
      </c>
      <c r="C8">
        <v>2</v>
      </c>
      <c r="D8" t="s">
        <v>42</v>
      </c>
      <c r="E8" t="s">
        <v>23</v>
      </c>
      <c r="F8" t="s">
        <v>51</v>
      </c>
      <c r="G8" t="s">
        <v>129</v>
      </c>
      <c r="H8" t="s">
        <v>49</v>
      </c>
      <c r="I8" t="s">
        <v>25</v>
      </c>
      <c r="L8">
        <v>0</v>
      </c>
      <c r="M8">
        <v>1</v>
      </c>
      <c r="N8">
        <v>10.5</v>
      </c>
      <c r="O8">
        <v>0.4</v>
      </c>
      <c r="P8">
        <v>10.1</v>
      </c>
      <c r="Q8">
        <v>4</v>
      </c>
      <c r="R8">
        <v>11</v>
      </c>
      <c r="S8">
        <v>0.4</v>
      </c>
      <c r="T8">
        <v>10.6</v>
      </c>
      <c r="U8">
        <v>4</v>
      </c>
      <c r="X8">
        <v>0</v>
      </c>
      <c r="Y8">
        <v>1</v>
      </c>
      <c r="AB8">
        <v>0</v>
      </c>
      <c r="AC8">
        <v>1</v>
      </c>
      <c r="AD8">
        <v>20.7</v>
      </c>
      <c r="AG8">
        <v>20.7</v>
      </c>
      <c r="AH8" s="5">
        <v>10.75</v>
      </c>
      <c r="AI8">
        <v>20.7</v>
      </c>
      <c r="AJ8">
        <v>4</v>
      </c>
      <c r="AK8" t="s">
        <v>33</v>
      </c>
      <c r="AL8" t="s">
        <v>250</v>
      </c>
    </row>
    <row r="9" spans="1:38" x14ac:dyDescent="0.3">
      <c r="A9" t="s">
        <v>207</v>
      </c>
      <c r="B9">
        <v>8</v>
      </c>
      <c r="C9">
        <v>2</v>
      </c>
      <c r="D9" t="s">
        <v>42</v>
      </c>
      <c r="E9" t="s">
        <v>23</v>
      </c>
      <c r="F9" t="s">
        <v>51</v>
      </c>
      <c r="G9" t="s">
        <v>55</v>
      </c>
      <c r="H9" t="s">
        <v>49</v>
      </c>
      <c r="I9" t="s">
        <v>25</v>
      </c>
      <c r="L9">
        <v>0</v>
      </c>
      <c r="M9">
        <v>1</v>
      </c>
      <c r="N9">
        <v>10.8</v>
      </c>
      <c r="O9">
        <v>0.8</v>
      </c>
      <c r="P9">
        <v>10</v>
      </c>
      <c r="Q9">
        <v>5</v>
      </c>
      <c r="R9">
        <v>10.8</v>
      </c>
      <c r="S9">
        <v>0.8</v>
      </c>
      <c r="T9">
        <v>10</v>
      </c>
      <c r="U9">
        <v>5</v>
      </c>
      <c r="X9">
        <v>0</v>
      </c>
      <c r="Y9">
        <v>1</v>
      </c>
      <c r="AB9">
        <v>0</v>
      </c>
      <c r="AC9">
        <v>1</v>
      </c>
      <c r="AD9">
        <v>20</v>
      </c>
      <c r="AG9">
        <v>20</v>
      </c>
      <c r="AH9" s="5">
        <v>10.8</v>
      </c>
      <c r="AI9">
        <v>20</v>
      </c>
      <c r="AJ9">
        <v>5</v>
      </c>
      <c r="AK9" t="s">
        <v>33</v>
      </c>
      <c r="AL9" t="s">
        <v>251</v>
      </c>
    </row>
    <row r="10" spans="1:38" x14ac:dyDescent="0.3">
      <c r="A10" t="s">
        <v>209</v>
      </c>
      <c r="B10">
        <v>9</v>
      </c>
      <c r="C10">
        <v>1</v>
      </c>
      <c r="D10" t="s">
        <v>42</v>
      </c>
      <c r="E10" t="s">
        <v>27</v>
      </c>
      <c r="F10" t="s">
        <v>51</v>
      </c>
      <c r="G10" t="s">
        <v>53</v>
      </c>
      <c r="H10" t="s">
        <v>49</v>
      </c>
      <c r="I10" t="s">
        <v>25</v>
      </c>
      <c r="J10">
        <v>14.2</v>
      </c>
      <c r="K10">
        <v>0.1</v>
      </c>
      <c r="L10">
        <v>14.1</v>
      </c>
      <c r="M10">
        <v>1</v>
      </c>
      <c r="P10">
        <v>0</v>
      </c>
      <c r="Q10">
        <v>1</v>
      </c>
      <c r="T10">
        <v>0</v>
      </c>
      <c r="U10">
        <v>1</v>
      </c>
      <c r="V10">
        <v>13.8</v>
      </c>
      <c r="W10">
        <v>0.1</v>
      </c>
      <c r="X10">
        <v>13.700000000000001</v>
      </c>
      <c r="Y10">
        <v>1</v>
      </c>
      <c r="Z10">
        <v>13.9</v>
      </c>
      <c r="AA10">
        <v>0.1</v>
      </c>
      <c r="AB10">
        <v>13.8</v>
      </c>
      <c r="AC10">
        <v>1</v>
      </c>
      <c r="AD10">
        <v>41.6</v>
      </c>
      <c r="AG10">
        <v>41.6</v>
      </c>
      <c r="AH10" s="5">
        <v>13.966666666666667</v>
      </c>
      <c r="AI10">
        <v>41.6</v>
      </c>
      <c r="AJ10">
        <v>1</v>
      </c>
      <c r="AK10" t="s">
        <v>33</v>
      </c>
      <c r="AL10" t="s">
        <v>257</v>
      </c>
    </row>
    <row r="11" spans="1:38" x14ac:dyDescent="0.3">
      <c r="A11" t="s">
        <v>209</v>
      </c>
      <c r="B11">
        <v>7</v>
      </c>
      <c r="C11">
        <v>1</v>
      </c>
      <c r="D11" t="s">
        <v>42</v>
      </c>
      <c r="E11" t="s">
        <v>27</v>
      </c>
      <c r="F11" t="s">
        <v>51</v>
      </c>
      <c r="G11" t="s">
        <v>61</v>
      </c>
      <c r="H11" t="s">
        <v>24</v>
      </c>
      <c r="I11" t="s">
        <v>25</v>
      </c>
      <c r="J11">
        <v>9.3000000000000007</v>
      </c>
      <c r="K11">
        <v>0.5</v>
      </c>
      <c r="L11">
        <v>8.8000000000000007</v>
      </c>
      <c r="M11">
        <v>2</v>
      </c>
      <c r="P11">
        <v>0</v>
      </c>
      <c r="Q11">
        <v>1</v>
      </c>
      <c r="T11">
        <v>0</v>
      </c>
      <c r="U11">
        <v>1</v>
      </c>
      <c r="V11">
        <v>9.3000000000000007</v>
      </c>
      <c r="W11">
        <v>0.5</v>
      </c>
      <c r="X11">
        <v>8.8000000000000007</v>
      </c>
      <c r="Y11">
        <v>2</v>
      </c>
      <c r="Z11">
        <v>8</v>
      </c>
      <c r="AA11">
        <v>0.5</v>
      </c>
      <c r="AB11">
        <v>7.5</v>
      </c>
      <c r="AC11">
        <v>2</v>
      </c>
      <c r="AD11">
        <v>25.1</v>
      </c>
      <c r="AG11">
        <v>25.1</v>
      </c>
      <c r="AH11" s="5">
        <v>8.8666666666666671</v>
      </c>
      <c r="AI11">
        <v>25.1</v>
      </c>
      <c r="AJ11">
        <v>2</v>
      </c>
      <c r="AK11" t="s">
        <v>33</v>
      </c>
      <c r="AL11" t="s">
        <v>256</v>
      </c>
    </row>
    <row r="12" spans="1:38" x14ac:dyDescent="0.3">
      <c r="A12" t="s">
        <v>208</v>
      </c>
      <c r="B12">
        <v>14</v>
      </c>
      <c r="C12">
        <v>2</v>
      </c>
      <c r="D12" t="s">
        <v>42</v>
      </c>
      <c r="E12" t="s">
        <v>23</v>
      </c>
      <c r="F12" t="s">
        <v>43</v>
      </c>
      <c r="G12" t="s">
        <v>44</v>
      </c>
      <c r="H12" t="s">
        <v>45</v>
      </c>
      <c r="I12" t="s">
        <v>25</v>
      </c>
      <c r="L12">
        <v>0</v>
      </c>
      <c r="M12">
        <v>1</v>
      </c>
      <c r="N12">
        <v>18.5</v>
      </c>
      <c r="O12">
        <v>0.1</v>
      </c>
      <c r="P12">
        <v>18.399999999999999</v>
      </c>
      <c r="Q12">
        <v>1</v>
      </c>
      <c r="R12">
        <v>19.100000000000001</v>
      </c>
      <c r="S12">
        <v>0.1</v>
      </c>
      <c r="T12">
        <v>19</v>
      </c>
      <c r="U12">
        <v>1</v>
      </c>
      <c r="X12">
        <v>0</v>
      </c>
      <c r="Y12">
        <v>1</v>
      </c>
      <c r="AB12">
        <v>0</v>
      </c>
      <c r="AC12">
        <v>1</v>
      </c>
      <c r="AD12">
        <v>37.4</v>
      </c>
      <c r="AG12">
        <v>37.4</v>
      </c>
      <c r="AH12" s="5">
        <v>18.8</v>
      </c>
      <c r="AI12">
        <v>37.4</v>
      </c>
      <c r="AJ12">
        <v>1</v>
      </c>
      <c r="AK12" t="s">
        <v>33</v>
      </c>
      <c r="AL12" t="s">
        <v>254</v>
      </c>
    </row>
    <row r="13" spans="1:38" x14ac:dyDescent="0.3">
      <c r="A13" t="s">
        <v>208</v>
      </c>
      <c r="B13">
        <v>12</v>
      </c>
      <c r="C13">
        <v>2</v>
      </c>
      <c r="D13" t="s">
        <v>42</v>
      </c>
      <c r="E13" t="s">
        <v>23</v>
      </c>
      <c r="F13" t="s">
        <v>43</v>
      </c>
      <c r="G13" t="s">
        <v>48</v>
      </c>
      <c r="H13" t="s">
        <v>49</v>
      </c>
      <c r="I13" t="s">
        <v>25</v>
      </c>
      <c r="L13">
        <v>0</v>
      </c>
      <c r="M13">
        <v>1</v>
      </c>
      <c r="N13">
        <v>19.7</v>
      </c>
      <c r="O13">
        <v>2.2999999999999998</v>
      </c>
      <c r="P13">
        <v>17.399999999999999</v>
      </c>
      <c r="Q13">
        <v>2</v>
      </c>
      <c r="R13">
        <v>20</v>
      </c>
      <c r="S13">
        <v>2.2999999999999998</v>
      </c>
      <c r="T13">
        <v>17.7</v>
      </c>
      <c r="U13">
        <v>2</v>
      </c>
      <c r="X13">
        <v>0</v>
      </c>
      <c r="Y13">
        <v>1</v>
      </c>
      <c r="AB13">
        <v>0</v>
      </c>
      <c r="AC13">
        <v>1</v>
      </c>
      <c r="AD13">
        <v>35.099999999999994</v>
      </c>
      <c r="AG13">
        <v>35.099999999999994</v>
      </c>
      <c r="AH13" s="5">
        <v>19.850000000000001</v>
      </c>
      <c r="AI13">
        <v>35.099999999999994</v>
      </c>
      <c r="AJ13">
        <v>2</v>
      </c>
      <c r="AK13" t="s">
        <v>33</v>
      </c>
      <c r="AL13" t="s">
        <v>253</v>
      </c>
    </row>
    <row r="14" spans="1:38" x14ac:dyDescent="0.3">
      <c r="A14" t="s">
        <v>208</v>
      </c>
      <c r="B14">
        <v>16</v>
      </c>
      <c r="C14">
        <v>2</v>
      </c>
      <c r="D14" t="s">
        <v>42</v>
      </c>
      <c r="E14" t="s">
        <v>23</v>
      </c>
      <c r="F14" t="s">
        <v>43</v>
      </c>
      <c r="G14" t="s">
        <v>46</v>
      </c>
      <c r="H14" t="s">
        <v>47</v>
      </c>
      <c r="I14" t="s">
        <v>25</v>
      </c>
      <c r="L14">
        <v>0</v>
      </c>
      <c r="M14">
        <v>1</v>
      </c>
      <c r="N14">
        <v>18</v>
      </c>
      <c r="O14">
        <v>0.7</v>
      </c>
      <c r="P14">
        <v>17.3</v>
      </c>
      <c r="Q14">
        <v>3</v>
      </c>
      <c r="R14">
        <v>18.3</v>
      </c>
      <c r="S14">
        <v>0.7</v>
      </c>
      <c r="T14">
        <v>17.600000000000001</v>
      </c>
      <c r="U14">
        <v>3</v>
      </c>
      <c r="X14">
        <v>0</v>
      </c>
      <c r="Y14">
        <v>1</v>
      </c>
      <c r="AB14">
        <v>0</v>
      </c>
      <c r="AC14">
        <v>1</v>
      </c>
      <c r="AD14">
        <v>34.900000000000006</v>
      </c>
      <c r="AG14">
        <v>34.900000000000006</v>
      </c>
      <c r="AH14" s="5">
        <v>18.149999999999999</v>
      </c>
      <c r="AI14">
        <v>34.900000000000006</v>
      </c>
      <c r="AJ14">
        <v>3</v>
      </c>
      <c r="AK14" t="s">
        <v>33</v>
      </c>
      <c r="AL14" t="s">
        <v>255</v>
      </c>
    </row>
    <row r="15" spans="1:38" x14ac:dyDescent="0.3">
      <c r="A15" t="s">
        <v>211</v>
      </c>
      <c r="B15">
        <v>13</v>
      </c>
      <c r="C15">
        <v>1</v>
      </c>
      <c r="D15" t="s">
        <v>42</v>
      </c>
      <c r="E15" t="s">
        <v>27</v>
      </c>
      <c r="F15" t="s">
        <v>56</v>
      </c>
      <c r="G15" t="s">
        <v>58</v>
      </c>
      <c r="H15" t="s">
        <v>49</v>
      </c>
      <c r="I15" t="s">
        <v>25</v>
      </c>
      <c r="J15">
        <v>29</v>
      </c>
      <c r="K15">
        <v>0.2</v>
      </c>
      <c r="L15">
        <v>28.8</v>
      </c>
      <c r="M15">
        <v>1</v>
      </c>
      <c r="P15">
        <v>0</v>
      </c>
      <c r="Q15">
        <v>1</v>
      </c>
      <c r="T15">
        <v>0</v>
      </c>
      <c r="U15">
        <v>1</v>
      </c>
      <c r="V15">
        <v>27.6</v>
      </c>
      <c r="W15">
        <v>0.2</v>
      </c>
      <c r="X15">
        <v>27.400000000000002</v>
      </c>
      <c r="Y15">
        <v>2</v>
      </c>
      <c r="Z15">
        <v>26.5</v>
      </c>
      <c r="AA15">
        <v>0.2</v>
      </c>
      <c r="AB15">
        <v>26.3</v>
      </c>
      <c r="AC15">
        <v>1</v>
      </c>
      <c r="AD15">
        <v>82.5</v>
      </c>
      <c r="AG15">
        <v>82.5</v>
      </c>
      <c r="AH15" s="5">
        <v>27.7</v>
      </c>
      <c r="AI15">
        <v>82.5</v>
      </c>
      <c r="AJ15">
        <v>1</v>
      </c>
      <c r="AK15" t="s">
        <v>33</v>
      </c>
      <c r="AL15" t="s">
        <v>269</v>
      </c>
    </row>
    <row r="16" spans="1:38" x14ac:dyDescent="0.3">
      <c r="A16" t="s">
        <v>211</v>
      </c>
      <c r="B16">
        <v>11</v>
      </c>
      <c r="C16">
        <v>1</v>
      </c>
      <c r="D16" t="s">
        <v>42</v>
      </c>
      <c r="E16" t="s">
        <v>27</v>
      </c>
      <c r="F16" t="s">
        <v>56</v>
      </c>
      <c r="G16" t="s">
        <v>59</v>
      </c>
      <c r="H16" t="s">
        <v>49</v>
      </c>
      <c r="I16" t="s">
        <v>25</v>
      </c>
      <c r="J16">
        <v>28.7</v>
      </c>
      <c r="K16">
        <v>0.1</v>
      </c>
      <c r="L16">
        <v>28.599999999999998</v>
      </c>
      <c r="M16">
        <v>2</v>
      </c>
      <c r="P16">
        <v>0</v>
      </c>
      <c r="Q16">
        <v>1</v>
      </c>
      <c r="T16">
        <v>0</v>
      </c>
      <c r="U16">
        <v>1</v>
      </c>
      <c r="V16">
        <v>27.7</v>
      </c>
      <c r="W16">
        <v>0.1</v>
      </c>
      <c r="X16">
        <v>27.599999999999998</v>
      </c>
      <c r="Y16">
        <v>1</v>
      </c>
      <c r="Z16">
        <v>26</v>
      </c>
      <c r="AA16">
        <v>0.1</v>
      </c>
      <c r="AB16">
        <v>25.9</v>
      </c>
      <c r="AC16">
        <v>2</v>
      </c>
      <c r="AD16">
        <v>82.1</v>
      </c>
      <c r="AG16">
        <v>82.1</v>
      </c>
      <c r="AH16" s="5">
        <v>27.466666666666669</v>
      </c>
      <c r="AI16">
        <v>82.1</v>
      </c>
      <c r="AJ16">
        <v>2</v>
      </c>
      <c r="AK16" t="s">
        <v>33</v>
      </c>
      <c r="AL16" t="s">
        <v>268</v>
      </c>
    </row>
    <row r="17" spans="1:38" x14ac:dyDescent="0.3">
      <c r="A17" t="s">
        <v>211</v>
      </c>
      <c r="B17">
        <v>17</v>
      </c>
      <c r="C17">
        <v>1</v>
      </c>
      <c r="D17" t="s">
        <v>42</v>
      </c>
      <c r="E17" t="s">
        <v>27</v>
      </c>
      <c r="F17" t="s">
        <v>56</v>
      </c>
      <c r="G17" t="s">
        <v>68</v>
      </c>
      <c r="H17" t="s">
        <v>47</v>
      </c>
      <c r="I17" t="s">
        <v>25</v>
      </c>
      <c r="J17">
        <v>25.8</v>
      </c>
      <c r="K17">
        <v>0.1</v>
      </c>
      <c r="L17">
        <v>25.7</v>
      </c>
      <c r="M17">
        <v>3</v>
      </c>
      <c r="P17">
        <v>0</v>
      </c>
      <c r="Q17">
        <v>1</v>
      </c>
      <c r="T17">
        <v>0</v>
      </c>
      <c r="U17">
        <v>1</v>
      </c>
      <c r="V17">
        <v>26.9</v>
      </c>
      <c r="W17">
        <v>0.1</v>
      </c>
      <c r="X17">
        <v>26.799999999999997</v>
      </c>
      <c r="Y17">
        <v>3</v>
      </c>
      <c r="Z17">
        <v>24.1</v>
      </c>
      <c r="AA17">
        <v>0.1</v>
      </c>
      <c r="AB17">
        <v>24</v>
      </c>
      <c r="AC17">
        <v>3</v>
      </c>
      <c r="AD17">
        <v>76.5</v>
      </c>
      <c r="AG17">
        <v>76.5</v>
      </c>
      <c r="AH17" s="5">
        <v>25.600000000000005</v>
      </c>
      <c r="AI17">
        <v>76.5</v>
      </c>
      <c r="AJ17">
        <v>3</v>
      </c>
      <c r="AK17" t="s">
        <v>33</v>
      </c>
      <c r="AL17" t="s">
        <v>271</v>
      </c>
    </row>
    <row r="18" spans="1:38" x14ac:dyDescent="0.3">
      <c r="A18" t="s">
        <v>211</v>
      </c>
      <c r="B18">
        <v>21</v>
      </c>
      <c r="C18">
        <v>1</v>
      </c>
      <c r="D18" t="s">
        <v>42</v>
      </c>
      <c r="E18" t="s">
        <v>27</v>
      </c>
      <c r="F18" t="s">
        <v>56</v>
      </c>
      <c r="G18" t="s">
        <v>57</v>
      </c>
      <c r="H18" t="s">
        <v>47</v>
      </c>
      <c r="I18" t="s">
        <v>25</v>
      </c>
      <c r="J18">
        <v>25.1</v>
      </c>
      <c r="K18">
        <v>0.3</v>
      </c>
      <c r="L18">
        <v>24.8</v>
      </c>
      <c r="M18">
        <v>4</v>
      </c>
      <c r="P18">
        <v>0</v>
      </c>
      <c r="Q18">
        <v>1</v>
      </c>
      <c r="T18">
        <v>0</v>
      </c>
      <c r="U18">
        <v>1</v>
      </c>
      <c r="V18">
        <v>27</v>
      </c>
      <c r="W18">
        <v>0.3</v>
      </c>
      <c r="X18">
        <v>26.7</v>
      </c>
      <c r="Y18">
        <v>4</v>
      </c>
      <c r="Z18">
        <v>23.4</v>
      </c>
      <c r="AA18">
        <v>0.3</v>
      </c>
      <c r="AB18">
        <v>23.099999999999998</v>
      </c>
      <c r="AC18">
        <v>4</v>
      </c>
      <c r="AD18">
        <v>74.599999999999994</v>
      </c>
      <c r="AG18">
        <v>74.599999999999994</v>
      </c>
      <c r="AH18" s="5">
        <v>25.166666666666668</v>
      </c>
      <c r="AI18">
        <v>74.599999999999994</v>
      </c>
      <c r="AJ18">
        <v>4</v>
      </c>
      <c r="AK18" t="s">
        <v>33</v>
      </c>
      <c r="AL18" t="s">
        <v>273</v>
      </c>
    </row>
    <row r="19" spans="1:38" x14ac:dyDescent="0.3">
      <c r="A19" t="s">
        <v>211</v>
      </c>
      <c r="B19">
        <v>19</v>
      </c>
      <c r="C19">
        <v>1</v>
      </c>
      <c r="D19" t="s">
        <v>42</v>
      </c>
      <c r="E19" t="s">
        <v>27</v>
      </c>
      <c r="F19" t="s">
        <v>56</v>
      </c>
      <c r="G19" t="s">
        <v>50</v>
      </c>
      <c r="H19" t="s">
        <v>49</v>
      </c>
      <c r="I19" t="s">
        <v>25</v>
      </c>
      <c r="J19">
        <v>22.4</v>
      </c>
      <c r="K19">
        <v>0.1</v>
      </c>
      <c r="L19">
        <v>22.299999999999997</v>
      </c>
      <c r="M19">
        <v>5</v>
      </c>
      <c r="P19">
        <v>0</v>
      </c>
      <c r="Q19">
        <v>1</v>
      </c>
      <c r="T19">
        <v>0</v>
      </c>
      <c r="U19">
        <v>1</v>
      </c>
      <c r="V19">
        <v>22.8</v>
      </c>
      <c r="W19">
        <v>0.1</v>
      </c>
      <c r="X19">
        <v>22.7</v>
      </c>
      <c r="Y19">
        <v>5</v>
      </c>
      <c r="Z19">
        <v>22.3</v>
      </c>
      <c r="AA19">
        <v>0.1</v>
      </c>
      <c r="AB19">
        <v>22.2</v>
      </c>
      <c r="AC19">
        <v>5</v>
      </c>
      <c r="AD19">
        <v>67.2</v>
      </c>
      <c r="AG19">
        <v>67.2</v>
      </c>
      <c r="AH19" s="5">
        <v>22.5</v>
      </c>
      <c r="AI19">
        <v>67.2</v>
      </c>
      <c r="AJ19">
        <v>5</v>
      </c>
      <c r="AK19" t="s">
        <v>33</v>
      </c>
      <c r="AL19" t="s">
        <v>272</v>
      </c>
    </row>
    <row r="20" spans="1:38" x14ac:dyDescent="0.3">
      <c r="A20" t="s">
        <v>211</v>
      </c>
      <c r="B20">
        <v>15</v>
      </c>
      <c r="C20">
        <v>1</v>
      </c>
      <c r="D20" t="s">
        <v>42</v>
      </c>
      <c r="E20" t="s">
        <v>27</v>
      </c>
      <c r="F20" t="s">
        <v>56</v>
      </c>
      <c r="G20" t="s">
        <v>69</v>
      </c>
      <c r="H20" t="s">
        <v>49</v>
      </c>
      <c r="I20" t="s">
        <v>25</v>
      </c>
      <c r="J20">
        <v>21.9</v>
      </c>
      <c r="K20">
        <v>0.7</v>
      </c>
      <c r="L20">
        <v>21.2</v>
      </c>
      <c r="M20">
        <v>6</v>
      </c>
      <c r="P20">
        <v>0</v>
      </c>
      <c r="Q20">
        <v>1</v>
      </c>
      <c r="T20">
        <v>0</v>
      </c>
      <c r="U20">
        <v>1</v>
      </c>
      <c r="V20">
        <v>22.8</v>
      </c>
      <c r="W20">
        <v>0.7</v>
      </c>
      <c r="X20">
        <v>22.1</v>
      </c>
      <c r="Y20">
        <v>6</v>
      </c>
      <c r="Z20">
        <v>21.1</v>
      </c>
      <c r="AA20">
        <v>0.7</v>
      </c>
      <c r="AB20">
        <v>20.400000000000002</v>
      </c>
      <c r="AC20">
        <v>6</v>
      </c>
      <c r="AD20">
        <v>63.7</v>
      </c>
      <c r="AG20">
        <v>63.7</v>
      </c>
      <c r="AH20" s="5">
        <v>21.933333333333337</v>
      </c>
      <c r="AI20">
        <v>63.7</v>
      </c>
      <c r="AJ20">
        <v>6</v>
      </c>
      <c r="AK20" t="s">
        <v>33</v>
      </c>
      <c r="AL20" t="s">
        <v>270</v>
      </c>
    </row>
    <row r="21" spans="1:38" x14ac:dyDescent="0.3">
      <c r="A21" t="s">
        <v>210</v>
      </c>
      <c r="B21">
        <v>22</v>
      </c>
      <c r="C21">
        <v>2</v>
      </c>
      <c r="D21" t="s">
        <v>42</v>
      </c>
      <c r="E21" t="s">
        <v>27</v>
      </c>
      <c r="F21" t="s">
        <v>43</v>
      </c>
      <c r="G21" t="s">
        <v>65</v>
      </c>
      <c r="H21" t="s">
        <v>49</v>
      </c>
      <c r="I21" t="s">
        <v>25</v>
      </c>
      <c r="L21">
        <v>0</v>
      </c>
      <c r="M21">
        <v>1</v>
      </c>
      <c r="N21">
        <v>27.4</v>
      </c>
      <c r="O21">
        <v>0.9</v>
      </c>
      <c r="P21">
        <v>26.5</v>
      </c>
      <c r="Q21">
        <v>1</v>
      </c>
      <c r="R21">
        <v>27.8</v>
      </c>
      <c r="S21">
        <v>0.9</v>
      </c>
      <c r="T21">
        <v>26.900000000000002</v>
      </c>
      <c r="U21">
        <v>1</v>
      </c>
      <c r="X21">
        <v>0</v>
      </c>
      <c r="Y21">
        <v>1</v>
      </c>
      <c r="AB21">
        <v>0</v>
      </c>
      <c r="AC21">
        <v>1</v>
      </c>
      <c r="AD21">
        <v>53.400000000000006</v>
      </c>
      <c r="AG21">
        <v>53.400000000000006</v>
      </c>
      <c r="AH21" s="5">
        <v>27.6</v>
      </c>
      <c r="AI21">
        <v>53.400000000000006</v>
      </c>
      <c r="AJ21">
        <v>1</v>
      </c>
      <c r="AK21" t="s">
        <v>33</v>
      </c>
      <c r="AL21" t="s">
        <v>260</v>
      </c>
    </row>
    <row r="22" spans="1:38" x14ac:dyDescent="0.3">
      <c r="A22" t="s">
        <v>210</v>
      </c>
      <c r="B22">
        <v>26</v>
      </c>
      <c r="C22">
        <v>2</v>
      </c>
      <c r="D22" t="s">
        <v>42</v>
      </c>
      <c r="E22" t="s">
        <v>27</v>
      </c>
      <c r="F22" t="s">
        <v>43</v>
      </c>
      <c r="G22" t="s">
        <v>107</v>
      </c>
      <c r="H22" t="s">
        <v>32</v>
      </c>
      <c r="I22" t="s">
        <v>25</v>
      </c>
      <c r="L22">
        <v>0</v>
      </c>
      <c r="M22">
        <v>1</v>
      </c>
      <c r="N22">
        <v>23.6</v>
      </c>
      <c r="O22">
        <v>0.8</v>
      </c>
      <c r="P22">
        <v>22.8</v>
      </c>
      <c r="Q22">
        <v>2</v>
      </c>
      <c r="R22">
        <v>26.2</v>
      </c>
      <c r="S22">
        <v>0.8</v>
      </c>
      <c r="T22">
        <v>25.4</v>
      </c>
      <c r="U22">
        <v>2</v>
      </c>
      <c r="X22">
        <v>0</v>
      </c>
      <c r="Y22">
        <v>1</v>
      </c>
      <c r="AB22">
        <v>0</v>
      </c>
      <c r="AC22">
        <v>1</v>
      </c>
      <c r="AD22">
        <v>48.2</v>
      </c>
      <c r="AG22">
        <v>48.2</v>
      </c>
      <c r="AH22" s="5">
        <v>24.9</v>
      </c>
      <c r="AI22">
        <v>48.2</v>
      </c>
      <c r="AJ22">
        <v>2</v>
      </c>
      <c r="AK22" t="s">
        <v>33</v>
      </c>
      <c r="AL22" t="s">
        <v>262</v>
      </c>
    </row>
    <row r="23" spans="1:38" x14ac:dyDescent="0.3">
      <c r="A23" t="s">
        <v>210</v>
      </c>
      <c r="B23">
        <v>34</v>
      </c>
      <c r="C23">
        <v>2</v>
      </c>
      <c r="D23" t="s">
        <v>42</v>
      </c>
      <c r="E23" t="s">
        <v>27</v>
      </c>
      <c r="F23" t="s">
        <v>43</v>
      </c>
      <c r="G23" t="s">
        <v>70</v>
      </c>
      <c r="H23" t="s">
        <v>45</v>
      </c>
      <c r="I23" t="s">
        <v>25</v>
      </c>
      <c r="L23">
        <v>0</v>
      </c>
      <c r="M23">
        <v>1</v>
      </c>
      <c r="N23">
        <v>22.7</v>
      </c>
      <c r="O23">
        <v>0.1</v>
      </c>
      <c r="P23">
        <v>22.599999999999998</v>
      </c>
      <c r="Q23">
        <v>3</v>
      </c>
      <c r="R23">
        <v>23.5</v>
      </c>
      <c r="S23">
        <v>0.1</v>
      </c>
      <c r="T23">
        <v>23.4</v>
      </c>
      <c r="U23">
        <v>3</v>
      </c>
      <c r="X23">
        <v>0</v>
      </c>
      <c r="Y23">
        <v>1</v>
      </c>
      <c r="AB23">
        <v>0</v>
      </c>
      <c r="AC23">
        <v>1</v>
      </c>
      <c r="AD23">
        <v>46</v>
      </c>
      <c r="AG23">
        <v>46</v>
      </c>
      <c r="AH23" s="5">
        <v>23.1</v>
      </c>
      <c r="AI23">
        <v>46</v>
      </c>
      <c r="AJ23">
        <v>3</v>
      </c>
      <c r="AK23" t="s">
        <v>33</v>
      </c>
      <c r="AL23" t="s">
        <v>266</v>
      </c>
    </row>
    <row r="24" spans="1:38" x14ac:dyDescent="0.3">
      <c r="A24" t="s">
        <v>210</v>
      </c>
      <c r="B24">
        <v>30</v>
      </c>
      <c r="C24">
        <v>2</v>
      </c>
      <c r="D24" t="s">
        <v>42</v>
      </c>
      <c r="E24" t="s">
        <v>27</v>
      </c>
      <c r="F24" t="s">
        <v>43</v>
      </c>
      <c r="G24" t="s">
        <v>133</v>
      </c>
      <c r="H24" t="s">
        <v>32</v>
      </c>
      <c r="I24" t="s">
        <v>25</v>
      </c>
      <c r="L24">
        <v>0</v>
      </c>
      <c r="M24">
        <v>1</v>
      </c>
      <c r="N24">
        <v>25.1</v>
      </c>
      <c r="O24">
        <v>3.2</v>
      </c>
      <c r="P24">
        <v>21.900000000000002</v>
      </c>
      <c r="Q24">
        <v>4</v>
      </c>
      <c r="R24">
        <v>25.9</v>
      </c>
      <c r="S24">
        <v>3.2</v>
      </c>
      <c r="T24">
        <v>22.7</v>
      </c>
      <c r="U24">
        <v>4</v>
      </c>
      <c r="X24">
        <v>0</v>
      </c>
      <c r="Y24">
        <v>1</v>
      </c>
      <c r="AB24">
        <v>0</v>
      </c>
      <c r="AC24">
        <v>1</v>
      </c>
      <c r="AD24">
        <v>44.6</v>
      </c>
      <c r="AG24">
        <v>44.6</v>
      </c>
      <c r="AH24" s="5">
        <v>25.5</v>
      </c>
      <c r="AI24">
        <v>44.6</v>
      </c>
      <c r="AJ24">
        <v>4</v>
      </c>
      <c r="AK24" t="s">
        <v>33</v>
      </c>
      <c r="AL24" t="s">
        <v>264</v>
      </c>
    </row>
    <row r="25" spans="1:38" x14ac:dyDescent="0.3">
      <c r="A25" t="s">
        <v>210</v>
      </c>
      <c r="B25">
        <v>20</v>
      </c>
      <c r="C25">
        <v>2</v>
      </c>
      <c r="D25" t="s">
        <v>42</v>
      </c>
      <c r="E25" t="s">
        <v>27</v>
      </c>
      <c r="F25" t="s">
        <v>43</v>
      </c>
      <c r="G25" t="s">
        <v>90</v>
      </c>
      <c r="H25" t="s">
        <v>47</v>
      </c>
      <c r="I25" t="s">
        <v>25</v>
      </c>
      <c r="L25">
        <v>0</v>
      </c>
      <c r="M25">
        <v>1</v>
      </c>
      <c r="N25">
        <v>16.100000000000001</v>
      </c>
      <c r="O25">
        <v>0.6</v>
      </c>
      <c r="P25">
        <v>15.500000000000002</v>
      </c>
      <c r="Q25">
        <v>6</v>
      </c>
      <c r="R25">
        <v>16</v>
      </c>
      <c r="S25">
        <v>0.6</v>
      </c>
      <c r="T25">
        <v>15.4</v>
      </c>
      <c r="U25">
        <v>5</v>
      </c>
      <c r="X25">
        <v>0</v>
      </c>
      <c r="Y25">
        <v>1</v>
      </c>
      <c r="AB25">
        <v>0</v>
      </c>
      <c r="AC25">
        <v>1</v>
      </c>
      <c r="AD25">
        <v>30.900000000000002</v>
      </c>
      <c r="AG25">
        <v>30.900000000000002</v>
      </c>
      <c r="AH25" s="5">
        <v>16.05</v>
      </c>
      <c r="AI25">
        <v>30.900000000000002</v>
      </c>
      <c r="AJ25">
        <v>5</v>
      </c>
      <c r="AK25" t="s">
        <v>33</v>
      </c>
      <c r="AL25" t="s">
        <v>259</v>
      </c>
    </row>
    <row r="26" spans="1:38" x14ac:dyDescent="0.3">
      <c r="A26" t="s">
        <v>210</v>
      </c>
      <c r="B26">
        <v>28</v>
      </c>
      <c r="C26">
        <v>2</v>
      </c>
      <c r="D26" t="s">
        <v>42</v>
      </c>
      <c r="E26" t="s">
        <v>27</v>
      </c>
      <c r="F26" t="s">
        <v>43</v>
      </c>
      <c r="G26" t="s">
        <v>52</v>
      </c>
      <c r="H26" t="s">
        <v>49</v>
      </c>
      <c r="I26" t="s">
        <v>25</v>
      </c>
      <c r="L26">
        <v>0</v>
      </c>
      <c r="M26">
        <v>1</v>
      </c>
      <c r="N26">
        <v>16.3</v>
      </c>
      <c r="O26">
        <v>0.7</v>
      </c>
      <c r="P26">
        <v>15.600000000000001</v>
      </c>
      <c r="Q26">
        <v>5</v>
      </c>
      <c r="R26">
        <v>15.8</v>
      </c>
      <c r="S26">
        <v>0.7</v>
      </c>
      <c r="T26">
        <v>15.100000000000001</v>
      </c>
      <c r="U26">
        <v>7</v>
      </c>
      <c r="X26">
        <v>0</v>
      </c>
      <c r="Y26">
        <v>1</v>
      </c>
      <c r="AB26">
        <v>0</v>
      </c>
      <c r="AC26">
        <v>1</v>
      </c>
      <c r="AD26">
        <v>30.700000000000003</v>
      </c>
      <c r="AG26">
        <v>30.700000000000003</v>
      </c>
      <c r="AH26" s="5">
        <v>16.05</v>
      </c>
      <c r="AI26">
        <v>30.700000000000003</v>
      </c>
      <c r="AJ26">
        <v>6</v>
      </c>
      <c r="AK26" t="s">
        <v>33</v>
      </c>
      <c r="AL26" t="s">
        <v>263</v>
      </c>
    </row>
    <row r="27" spans="1:38" x14ac:dyDescent="0.3">
      <c r="A27" t="s">
        <v>210</v>
      </c>
      <c r="B27">
        <v>18</v>
      </c>
      <c r="C27">
        <v>2</v>
      </c>
      <c r="D27" t="s">
        <v>42</v>
      </c>
      <c r="E27" t="s">
        <v>27</v>
      </c>
      <c r="F27" t="s">
        <v>43</v>
      </c>
      <c r="G27" t="s">
        <v>131</v>
      </c>
      <c r="H27" t="s">
        <v>49</v>
      </c>
      <c r="I27" t="s">
        <v>25</v>
      </c>
      <c r="L27">
        <v>0</v>
      </c>
      <c r="M27">
        <v>1</v>
      </c>
      <c r="N27">
        <v>16.100000000000001</v>
      </c>
      <c r="O27">
        <v>0.9</v>
      </c>
      <c r="P27">
        <v>15.200000000000001</v>
      </c>
      <c r="Q27">
        <v>7</v>
      </c>
      <c r="R27">
        <v>16.3</v>
      </c>
      <c r="S27">
        <v>0.9</v>
      </c>
      <c r="T27">
        <v>15.4</v>
      </c>
      <c r="U27">
        <v>5</v>
      </c>
      <c r="X27">
        <v>0</v>
      </c>
      <c r="Y27">
        <v>1</v>
      </c>
      <c r="AB27">
        <v>0</v>
      </c>
      <c r="AC27">
        <v>1</v>
      </c>
      <c r="AD27">
        <v>30.6</v>
      </c>
      <c r="AG27">
        <v>30.6</v>
      </c>
      <c r="AH27" s="5">
        <v>16.200000000000003</v>
      </c>
      <c r="AI27">
        <v>30.6</v>
      </c>
      <c r="AJ27">
        <v>7</v>
      </c>
      <c r="AK27" t="s">
        <v>33</v>
      </c>
      <c r="AL27" t="s">
        <v>258</v>
      </c>
    </row>
    <row r="28" spans="1:38" x14ac:dyDescent="0.3">
      <c r="A28" t="s">
        <v>210</v>
      </c>
      <c r="B28">
        <v>24</v>
      </c>
      <c r="C28">
        <v>2</v>
      </c>
      <c r="D28" t="s">
        <v>42</v>
      </c>
      <c r="E28" t="s">
        <v>27</v>
      </c>
      <c r="F28" t="s">
        <v>43</v>
      </c>
      <c r="G28" t="s">
        <v>132</v>
      </c>
      <c r="H28" t="s">
        <v>73</v>
      </c>
      <c r="I28" t="s">
        <v>28</v>
      </c>
      <c r="L28">
        <v>0</v>
      </c>
      <c r="M28">
        <v>1</v>
      </c>
      <c r="N28">
        <v>10.7</v>
      </c>
      <c r="O28">
        <v>0.2</v>
      </c>
      <c r="P28">
        <v>10.5</v>
      </c>
      <c r="Q28">
        <v>8</v>
      </c>
      <c r="R28">
        <v>11.1</v>
      </c>
      <c r="S28">
        <v>0.2</v>
      </c>
      <c r="T28">
        <v>10.9</v>
      </c>
      <c r="U28">
        <v>8</v>
      </c>
      <c r="X28">
        <v>0</v>
      </c>
      <c r="Y28">
        <v>1</v>
      </c>
      <c r="AB28">
        <v>0</v>
      </c>
      <c r="AC28">
        <v>1</v>
      </c>
      <c r="AD28">
        <v>21.4</v>
      </c>
      <c r="AG28">
        <v>21.4</v>
      </c>
      <c r="AH28" s="5">
        <v>10.899999999999999</v>
      </c>
      <c r="AI28">
        <v>21.4</v>
      </c>
      <c r="AJ28">
        <v>8</v>
      </c>
      <c r="AK28" t="s">
        <v>33</v>
      </c>
      <c r="AL28" t="s">
        <v>261</v>
      </c>
    </row>
    <row r="29" spans="1:38" x14ac:dyDescent="0.3">
      <c r="A29" t="s">
        <v>210</v>
      </c>
      <c r="B29">
        <v>32</v>
      </c>
      <c r="C29">
        <v>2</v>
      </c>
      <c r="D29" t="s">
        <v>42</v>
      </c>
      <c r="E29" t="s">
        <v>27</v>
      </c>
      <c r="F29" t="s">
        <v>43</v>
      </c>
      <c r="G29" t="s">
        <v>134</v>
      </c>
      <c r="H29" t="s">
        <v>73</v>
      </c>
      <c r="I29" t="s">
        <v>28</v>
      </c>
      <c r="L29">
        <v>0</v>
      </c>
      <c r="M29">
        <v>1</v>
      </c>
      <c r="N29">
        <v>10.3</v>
      </c>
      <c r="O29">
        <v>1.1000000000000001</v>
      </c>
      <c r="P29">
        <v>9.2000000000000011</v>
      </c>
      <c r="Q29">
        <v>9</v>
      </c>
      <c r="R29">
        <v>11.9</v>
      </c>
      <c r="S29">
        <v>1.1000000000000001</v>
      </c>
      <c r="T29">
        <v>10.8</v>
      </c>
      <c r="U29">
        <v>9</v>
      </c>
      <c r="X29">
        <v>0</v>
      </c>
      <c r="Y29">
        <v>1</v>
      </c>
      <c r="AB29">
        <v>0</v>
      </c>
      <c r="AC29">
        <v>1</v>
      </c>
      <c r="AD29">
        <v>20</v>
      </c>
      <c r="AG29">
        <v>20</v>
      </c>
      <c r="AH29" s="5">
        <v>11.100000000000001</v>
      </c>
      <c r="AI29">
        <v>20</v>
      </c>
      <c r="AJ29">
        <v>9</v>
      </c>
      <c r="AK29" t="s">
        <v>33</v>
      </c>
      <c r="AL29" t="s">
        <v>265</v>
      </c>
    </row>
    <row r="30" spans="1:38" x14ac:dyDescent="0.3">
      <c r="A30" t="s">
        <v>210</v>
      </c>
      <c r="B30">
        <v>36</v>
      </c>
      <c r="C30">
        <v>2</v>
      </c>
      <c r="D30" t="s">
        <v>42</v>
      </c>
      <c r="E30" t="s">
        <v>27</v>
      </c>
      <c r="F30" t="s">
        <v>43</v>
      </c>
      <c r="G30" t="s">
        <v>135</v>
      </c>
      <c r="H30" t="s">
        <v>73</v>
      </c>
      <c r="I30" t="s">
        <v>28</v>
      </c>
      <c r="L30">
        <v>0</v>
      </c>
      <c r="M30">
        <v>1</v>
      </c>
      <c r="N30">
        <v>9.1999999999999993</v>
      </c>
      <c r="O30">
        <v>0.8</v>
      </c>
      <c r="P30">
        <v>8.3999999999999986</v>
      </c>
      <c r="Q30">
        <v>10</v>
      </c>
      <c r="R30">
        <v>10.7</v>
      </c>
      <c r="S30">
        <v>0.8</v>
      </c>
      <c r="T30">
        <v>9.8999999999999986</v>
      </c>
      <c r="U30">
        <v>10</v>
      </c>
      <c r="X30">
        <v>0</v>
      </c>
      <c r="Y30">
        <v>1</v>
      </c>
      <c r="AB30">
        <v>0</v>
      </c>
      <c r="AC30">
        <v>1</v>
      </c>
      <c r="AD30">
        <v>18.299999999999997</v>
      </c>
      <c r="AG30">
        <v>18.299999999999997</v>
      </c>
      <c r="AH30" s="5">
        <v>9.9499999999999993</v>
      </c>
      <c r="AI30">
        <v>18.299999999999997</v>
      </c>
      <c r="AJ30">
        <v>10</v>
      </c>
      <c r="AK30" t="s">
        <v>33</v>
      </c>
      <c r="AL30" t="s">
        <v>267</v>
      </c>
    </row>
    <row r="31" spans="1:38" x14ac:dyDescent="0.3">
      <c r="A31" t="s">
        <v>212</v>
      </c>
      <c r="B31">
        <v>25</v>
      </c>
      <c r="C31">
        <v>1</v>
      </c>
      <c r="D31" t="s">
        <v>42</v>
      </c>
      <c r="E31" t="s">
        <v>29</v>
      </c>
      <c r="F31" t="s">
        <v>43</v>
      </c>
      <c r="G31" t="s">
        <v>136</v>
      </c>
      <c r="H31" t="s">
        <v>49</v>
      </c>
      <c r="I31" t="s">
        <v>25</v>
      </c>
      <c r="J31">
        <v>20.8</v>
      </c>
      <c r="K31">
        <v>0.3</v>
      </c>
      <c r="L31">
        <v>20.5</v>
      </c>
      <c r="M31">
        <v>1</v>
      </c>
      <c r="P31">
        <v>0</v>
      </c>
      <c r="Q31">
        <v>1</v>
      </c>
      <c r="T31">
        <v>0</v>
      </c>
      <c r="U31">
        <v>1</v>
      </c>
      <c r="V31">
        <v>21.9</v>
      </c>
      <c r="W31">
        <v>0.3</v>
      </c>
      <c r="X31">
        <v>21.599999999999998</v>
      </c>
      <c r="Y31">
        <v>1</v>
      </c>
      <c r="Z31">
        <v>21.9</v>
      </c>
      <c r="AA31">
        <v>0.3</v>
      </c>
      <c r="AB31">
        <v>21.599999999999998</v>
      </c>
      <c r="AC31">
        <v>1</v>
      </c>
      <c r="AD31">
        <v>63.699999999999989</v>
      </c>
      <c r="AG31">
        <v>63.699999999999989</v>
      </c>
      <c r="AH31" s="5">
        <v>21.533333333333331</v>
      </c>
      <c r="AI31">
        <v>63.699999999999989</v>
      </c>
      <c r="AJ31">
        <v>1</v>
      </c>
      <c r="AK31" t="s">
        <v>33</v>
      </c>
      <c r="AL31" t="s">
        <v>275</v>
      </c>
    </row>
    <row r="32" spans="1:38" x14ac:dyDescent="0.3">
      <c r="A32" t="s">
        <v>212</v>
      </c>
      <c r="B32">
        <v>23</v>
      </c>
      <c r="C32">
        <v>1</v>
      </c>
      <c r="D32" t="s">
        <v>42</v>
      </c>
      <c r="E32" t="s">
        <v>29</v>
      </c>
      <c r="F32" t="s">
        <v>43</v>
      </c>
      <c r="G32" t="s">
        <v>74</v>
      </c>
      <c r="H32" t="s">
        <v>47</v>
      </c>
      <c r="I32" t="s">
        <v>25</v>
      </c>
      <c r="J32">
        <v>17.100000000000001</v>
      </c>
      <c r="K32">
        <v>0.4</v>
      </c>
      <c r="L32">
        <v>16.700000000000003</v>
      </c>
      <c r="M32">
        <v>2</v>
      </c>
      <c r="P32">
        <v>0</v>
      </c>
      <c r="Q32">
        <v>1</v>
      </c>
      <c r="T32">
        <v>0</v>
      </c>
      <c r="U32">
        <v>1</v>
      </c>
      <c r="V32">
        <v>17.100000000000001</v>
      </c>
      <c r="W32">
        <v>0.4</v>
      </c>
      <c r="X32">
        <v>16.700000000000003</v>
      </c>
      <c r="Y32">
        <v>2</v>
      </c>
      <c r="Z32">
        <v>17.600000000000001</v>
      </c>
      <c r="AA32">
        <v>0.4</v>
      </c>
      <c r="AB32">
        <v>17.200000000000003</v>
      </c>
      <c r="AC32">
        <v>2</v>
      </c>
      <c r="AD32">
        <v>50.600000000000009</v>
      </c>
      <c r="AG32">
        <v>50.600000000000009</v>
      </c>
      <c r="AH32" s="5">
        <v>17.266666666666669</v>
      </c>
      <c r="AI32">
        <v>50.600000000000009</v>
      </c>
      <c r="AJ32">
        <v>2</v>
      </c>
      <c r="AK32" t="s">
        <v>33</v>
      </c>
      <c r="AL32" t="s">
        <v>274</v>
      </c>
    </row>
    <row r="33" spans="1:38" x14ac:dyDescent="0.3">
      <c r="A33" t="s">
        <v>212</v>
      </c>
      <c r="B33">
        <v>29</v>
      </c>
      <c r="C33">
        <v>1</v>
      </c>
      <c r="D33" t="s">
        <v>42</v>
      </c>
      <c r="E33" t="s">
        <v>29</v>
      </c>
      <c r="F33" t="s">
        <v>43</v>
      </c>
      <c r="G33" t="s">
        <v>138</v>
      </c>
      <c r="H33" t="s">
        <v>73</v>
      </c>
      <c r="I33" t="s">
        <v>28</v>
      </c>
      <c r="J33">
        <v>8.1999999999999993</v>
      </c>
      <c r="K33">
        <v>0.2</v>
      </c>
      <c r="L33">
        <v>7.9999999999999991</v>
      </c>
      <c r="M33">
        <v>3</v>
      </c>
      <c r="P33">
        <v>0</v>
      </c>
      <c r="Q33">
        <v>1</v>
      </c>
      <c r="T33">
        <v>0</v>
      </c>
      <c r="U33">
        <v>1</v>
      </c>
      <c r="V33">
        <v>8.4</v>
      </c>
      <c r="W33">
        <v>0.2</v>
      </c>
      <c r="X33">
        <v>8.2000000000000011</v>
      </c>
      <c r="Y33">
        <v>3</v>
      </c>
      <c r="Z33">
        <v>7.7</v>
      </c>
      <c r="AA33">
        <v>0.2</v>
      </c>
      <c r="AB33">
        <v>7.5</v>
      </c>
      <c r="AC33">
        <v>3</v>
      </c>
      <c r="AD33">
        <v>23.7</v>
      </c>
      <c r="AG33">
        <v>23.7</v>
      </c>
      <c r="AH33" s="5">
        <v>8.1</v>
      </c>
      <c r="AI33">
        <v>23.7</v>
      </c>
      <c r="AJ33">
        <v>3</v>
      </c>
      <c r="AK33" t="s">
        <v>33</v>
      </c>
      <c r="AL33" t="s">
        <v>277</v>
      </c>
    </row>
    <row r="34" spans="1:38" x14ac:dyDescent="0.3">
      <c r="A34" t="s">
        <v>212</v>
      </c>
      <c r="B34">
        <v>27</v>
      </c>
      <c r="C34">
        <v>1</v>
      </c>
      <c r="D34" t="s">
        <v>42</v>
      </c>
      <c r="E34" t="s">
        <v>29</v>
      </c>
      <c r="F34" t="s">
        <v>43</v>
      </c>
      <c r="G34" t="s">
        <v>137</v>
      </c>
      <c r="H34" t="s">
        <v>73</v>
      </c>
      <c r="I34" t="s">
        <v>28</v>
      </c>
      <c r="L34">
        <v>0</v>
      </c>
      <c r="M34">
        <v>4</v>
      </c>
      <c r="P34">
        <v>0</v>
      </c>
      <c r="Q34">
        <v>1</v>
      </c>
      <c r="T34">
        <v>0</v>
      </c>
      <c r="U34">
        <v>1</v>
      </c>
      <c r="V34">
        <v>0</v>
      </c>
      <c r="W34">
        <v>0</v>
      </c>
      <c r="X34">
        <v>0</v>
      </c>
      <c r="Y34">
        <v>4</v>
      </c>
      <c r="Z34">
        <v>0</v>
      </c>
      <c r="AA34">
        <v>0</v>
      </c>
      <c r="AB34">
        <v>0</v>
      </c>
      <c r="AC34">
        <v>4</v>
      </c>
      <c r="AD34">
        <v>0</v>
      </c>
      <c r="AG34">
        <v>0</v>
      </c>
      <c r="AH34" s="5">
        <v>0</v>
      </c>
      <c r="AI34">
        <v>0</v>
      </c>
      <c r="AJ34">
        <v>4</v>
      </c>
      <c r="AK34" t="s">
        <v>33</v>
      </c>
      <c r="AL34" t="s">
        <v>276</v>
      </c>
    </row>
    <row r="35" spans="1:38" x14ac:dyDescent="0.3">
      <c r="A35" t="s">
        <v>213</v>
      </c>
      <c r="B35">
        <v>37</v>
      </c>
      <c r="C35">
        <v>1</v>
      </c>
      <c r="D35" t="s">
        <v>42</v>
      </c>
      <c r="E35" t="s">
        <v>29</v>
      </c>
      <c r="F35" t="s">
        <v>56</v>
      </c>
      <c r="G35" t="s">
        <v>140</v>
      </c>
      <c r="H35" t="s">
        <v>86</v>
      </c>
      <c r="I35" t="s">
        <v>25</v>
      </c>
      <c r="J35">
        <v>22.8</v>
      </c>
      <c r="K35">
        <v>0.2</v>
      </c>
      <c r="L35">
        <v>22.6</v>
      </c>
      <c r="M35">
        <v>1</v>
      </c>
      <c r="P35">
        <v>0</v>
      </c>
      <c r="Q35">
        <v>1</v>
      </c>
      <c r="T35">
        <v>0</v>
      </c>
      <c r="U35">
        <v>1</v>
      </c>
      <c r="V35">
        <v>21.1</v>
      </c>
      <c r="W35">
        <v>0.2</v>
      </c>
      <c r="X35">
        <v>20.900000000000002</v>
      </c>
      <c r="Y35">
        <v>1</v>
      </c>
      <c r="Z35">
        <v>19.7</v>
      </c>
      <c r="AA35">
        <v>0.2</v>
      </c>
      <c r="AB35">
        <v>19.5</v>
      </c>
      <c r="AC35">
        <v>1</v>
      </c>
      <c r="AD35">
        <v>63</v>
      </c>
      <c r="AG35">
        <v>63</v>
      </c>
      <c r="AH35" s="5">
        <v>21.200000000000003</v>
      </c>
      <c r="AI35">
        <v>63</v>
      </c>
      <c r="AJ35">
        <v>1</v>
      </c>
      <c r="AK35" t="s">
        <v>33</v>
      </c>
      <c r="AL35" t="s">
        <v>281</v>
      </c>
    </row>
    <row r="36" spans="1:38" x14ac:dyDescent="0.3">
      <c r="A36" t="s">
        <v>213</v>
      </c>
      <c r="B36">
        <v>31</v>
      </c>
      <c r="C36">
        <v>1</v>
      </c>
      <c r="D36" t="s">
        <v>42</v>
      </c>
      <c r="E36" t="s">
        <v>29</v>
      </c>
      <c r="F36" t="s">
        <v>56</v>
      </c>
      <c r="G36" t="s">
        <v>139</v>
      </c>
      <c r="H36" t="s">
        <v>86</v>
      </c>
      <c r="I36" t="s">
        <v>25</v>
      </c>
      <c r="J36">
        <v>14.7</v>
      </c>
      <c r="K36">
        <v>0.2</v>
      </c>
      <c r="L36">
        <v>14.5</v>
      </c>
      <c r="M36">
        <v>2</v>
      </c>
      <c r="P36">
        <v>0</v>
      </c>
      <c r="Q36">
        <v>1</v>
      </c>
      <c r="T36">
        <v>0</v>
      </c>
      <c r="U36">
        <v>1</v>
      </c>
      <c r="V36">
        <v>16.2</v>
      </c>
      <c r="W36">
        <v>0.2</v>
      </c>
      <c r="X36">
        <v>16</v>
      </c>
      <c r="Y36">
        <v>2</v>
      </c>
      <c r="Z36">
        <v>16.7</v>
      </c>
      <c r="AA36">
        <v>0.2</v>
      </c>
      <c r="AB36">
        <v>16.5</v>
      </c>
      <c r="AC36">
        <v>2</v>
      </c>
      <c r="AD36">
        <v>47</v>
      </c>
      <c r="AG36">
        <v>47</v>
      </c>
      <c r="AH36" s="5">
        <v>15.866666666666665</v>
      </c>
      <c r="AI36">
        <v>47</v>
      </c>
      <c r="AJ36">
        <v>2</v>
      </c>
      <c r="AK36" t="s">
        <v>33</v>
      </c>
      <c r="AL36" t="s">
        <v>278</v>
      </c>
    </row>
    <row r="37" spans="1:38" x14ac:dyDescent="0.3">
      <c r="A37" t="s">
        <v>213</v>
      </c>
      <c r="B37">
        <v>35</v>
      </c>
      <c r="C37">
        <v>1</v>
      </c>
      <c r="D37" t="s">
        <v>42</v>
      </c>
      <c r="E37" t="s">
        <v>29</v>
      </c>
      <c r="F37" t="s">
        <v>56</v>
      </c>
      <c r="G37" t="s">
        <v>112</v>
      </c>
      <c r="H37" t="s">
        <v>73</v>
      </c>
      <c r="I37" t="s">
        <v>28</v>
      </c>
      <c r="J37">
        <v>13.1</v>
      </c>
      <c r="K37">
        <v>0.4</v>
      </c>
      <c r="L37">
        <v>12.7</v>
      </c>
      <c r="M37">
        <v>3</v>
      </c>
      <c r="P37">
        <v>0</v>
      </c>
      <c r="Q37">
        <v>1</v>
      </c>
      <c r="T37">
        <v>0</v>
      </c>
      <c r="U37">
        <v>1</v>
      </c>
      <c r="V37">
        <v>16.3</v>
      </c>
      <c r="W37">
        <v>0.4</v>
      </c>
      <c r="X37">
        <v>15.9</v>
      </c>
      <c r="Y37">
        <v>3</v>
      </c>
      <c r="Z37">
        <v>14.8</v>
      </c>
      <c r="AA37">
        <v>0.4</v>
      </c>
      <c r="AB37">
        <v>14.4</v>
      </c>
      <c r="AC37">
        <v>3</v>
      </c>
      <c r="AD37">
        <v>43</v>
      </c>
      <c r="AG37">
        <v>43</v>
      </c>
      <c r="AH37" s="5">
        <v>14.733333333333334</v>
      </c>
      <c r="AI37">
        <v>43</v>
      </c>
      <c r="AJ37">
        <v>3</v>
      </c>
      <c r="AK37" t="s">
        <v>33</v>
      </c>
      <c r="AL37" t="s">
        <v>280</v>
      </c>
    </row>
    <row r="38" spans="1:38" x14ac:dyDescent="0.3">
      <c r="A38" t="s">
        <v>213</v>
      </c>
      <c r="B38">
        <v>33</v>
      </c>
      <c r="C38">
        <v>1</v>
      </c>
      <c r="D38" t="s">
        <v>42</v>
      </c>
      <c r="E38" t="s">
        <v>29</v>
      </c>
      <c r="F38" t="s">
        <v>56</v>
      </c>
      <c r="G38" t="s">
        <v>72</v>
      </c>
      <c r="H38" t="s">
        <v>73</v>
      </c>
      <c r="I38" t="s">
        <v>28</v>
      </c>
      <c r="J38">
        <v>12.4</v>
      </c>
      <c r="K38">
        <v>1.1000000000000001</v>
      </c>
      <c r="L38">
        <v>11.3</v>
      </c>
      <c r="M38">
        <v>4</v>
      </c>
      <c r="P38">
        <v>0</v>
      </c>
      <c r="Q38">
        <v>1</v>
      </c>
      <c r="T38">
        <v>0</v>
      </c>
      <c r="U38">
        <v>1</v>
      </c>
      <c r="V38">
        <v>16.5</v>
      </c>
      <c r="W38">
        <v>1.1000000000000001</v>
      </c>
      <c r="X38">
        <v>15.4</v>
      </c>
      <c r="Y38">
        <v>4</v>
      </c>
      <c r="Z38">
        <v>13.6</v>
      </c>
      <c r="AA38">
        <v>1.1000000000000001</v>
      </c>
      <c r="AB38">
        <v>12.5</v>
      </c>
      <c r="AC38">
        <v>4</v>
      </c>
      <c r="AD38">
        <v>39.200000000000003</v>
      </c>
      <c r="AG38">
        <v>39.200000000000003</v>
      </c>
      <c r="AH38" s="5">
        <v>14.166666666666666</v>
      </c>
      <c r="AI38">
        <v>39.200000000000003</v>
      </c>
      <c r="AJ38">
        <v>4</v>
      </c>
      <c r="AK38" t="s">
        <v>33</v>
      </c>
      <c r="AL38" t="s">
        <v>279</v>
      </c>
    </row>
    <row r="39" spans="1:38" x14ac:dyDescent="0.3">
      <c r="A39" t="s">
        <v>216</v>
      </c>
      <c r="B39">
        <v>38</v>
      </c>
      <c r="C39">
        <v>1</v>
      </c>
      <c r="D39" t="s">
        <v>76</v>
      </c>
      <c r="E39" t="s">
        <v>27</v>
      </c>
      <c r="F39" t="s">
        <v>142</v>
      </c>
      <c r="G39" t="s">
        <v>59</v>
      </c>
      <c r="H39" t="s">
        <v>49</v>
      </c>
      <c r="I39" t="s">
        <v>25</v>
      </c>
      <c r="J39">
        <v>28.6</v>
      </c>
      <c r="K39">
        <v>0</v>
      </c>
      <c r="L39">
        <v>28.6</v>
      </c>
      <c r="M39">
        <v>1</v>
      </c>
      <c r="P39">
        <v>0</v>
      </c>
      <c r="Q39">
        <v>1</v>
      </c>
      <c r="T39">
        <v>0</v>
      </c>
      <c r="U39">
        <v>1</v>
      </c>
      <c r="V39">
        <v>30</v>
      </c>
      <c r="W39">
        <v>0</v>
      </c>
      <c r="X39">
        <v>30</v>
      </c>
      <c r="Y39">
        <v>1</v>
      </c>
      <c r="Z39">
        <v>29.6</v>
      </c>
      <c r="AA39">
        <v>0</v>
      </c>
      <c r="AB39">
        <v>29.6</v>
      </c>
      <c r="AC39">
        <v>1</v>
      </c>
      <c r="AD39">
        <v>88.2</v>
      </c>
      <c r="AG39">
        <v>88.2</v>
      </c>
      <c r="AH39" s="5">
        <v>29.400000000000002</v>
      </c>
      <c r="AI39">
        <v>88.2</v>
      </c>
      <c r="AJ39">
        <v>1</v>
      </c>
      <c r="AK39" t="s">
        <v>33</v>
      </c>
      <c r="AL39" t="s">
        <v>287</v>
      </c>
    </row>
    <row r="40" spans="1:38" x14ac:dyDescent="0.3">
      <c r="A40" t="s">
        <v>216</v>
      </c>
      <c r="B40">
        <v>40</v>
      </c>
      <c r="C40">
        <v>1</v>
      </c>
      <c r="D40" t="s">
        <v>76</v>
      </c>
      <c r="E40" t="s">
        <v>27</v>
      </c>
      <c r="F40" t="s">
        <v>142</v>
      </c>
      <c r="G40" t="s">
        <v>58</v>
      </c>
      <c r="H40" t="s">
        <v>49</v>
      </c>
      <c r="I40" t="s">
        <v>25</v>
      </c>
      <c r="J40">
        <v>28.1</v>
      </c>
      <c r="K40">
        <v>0.1</v>
      </c>
      <c r="L40">
        <v>28</v>
      </c>
      <c r="M40">
        <v>2</v>
      </c>
      <c r="P40">
        <v>0</v>
      </c>
      <c r="Q40">
        <v>1</v>
      </c>
      <c r="T40">
        <v>0</v>
      </c>
      <c r="U40">
        <v>1</v>
      </c>
      <c r="V40">
        <v>27.9</v>
      </c>
      <c r="W40">
        <v>0.1</v>
      </c>
      <c r="X40">
        <v>27.799999999999997</v>
      </c>
      <c r="Y40">
        <v>2</v>
      </c>
      <c r="Z40">
        <v>25.7</v>
      </c>
      <c r="AA40">
        <v>0.1</v>
      </c>
      <c r="AB40">
        <v>25.599999999999998</v>
      </c>
      <c r="AC40">
        <v>2</v>
      </c>
      <c r="AD40">
        <v>81.399999999999991</v>
      </c>
      <c r="AG40">
        <v>81.399999999999991</v>
      </c>
      <c r="AH40" s="5">
        <v>27.233333333333334</v>
      </c>
      <c r="AI40">
        <v>81.399999999999991</v>
      </c>
      <c r="AJ40">
        <v>2</v>
      </c>
      <c r="AK40" t="s">
        <v>33</v>
      </c>
      <c r="AL40" t="s">
        <v>288</v>
      </c>
    </row>
    <row r="41" spans="1:38" x14ac:dyDescent="0.3">
      <c r="A41" t="s">
        <v>216</v>
      </c>
      <c r="B41">
        <v>42</v>
      </c>
      <c r="C41">
        <v>1</v>
      </c>
      <c r="D41" t="s">
        <v>76</v>
      </c>
      <c r="E41" t="s">
        <v>27</v>
      </c>
      <c r="F41" t="s">
        <v>142</v>
      </c>
      <c r="G41" t="s">
        <v>69</v>
      </c>
      <c r="H41" t="s">
        <v>49</v>
      </c>
      <c r="I41" t="s">
        <v>25</v>
      </c>
      <c r="J41">
        <v>26</v>
      </c>
      <c r="K41">
        <v>0.6</v>
      </c>
      <c r="L41">
        <v>25.4</v>
      </c>
      <c r="M41">
        <v>3</v>
      </c>
      <c r="P41">
        <v>0</v>
      </c>
      <c r="Q41">
        <v>1</v>
      </c>
      <c r="T41">
        <v>0</v>
      </c>
      <c r="U41">
        <v>1</v>
      </c>
      <c r="V41">
        <v>21.8</v>
      </c>
      <c r="W41">
        <v>0.6</v>
      </c>
      <c r="X41">
        <v>21.2</v>
      </c>
      <c r="Y41">
        <v>3</v>
      </c>
      <c r="Z41">
        <v>23.4</v>
      </c>
      <c r="AA41">
        <v>0.6</v>
      </c>
      <c r="AB41">
        <v>22.799999999999997</v>
      </c>
      <c r="AC41">
        <v>3</v>
      </c>
      <c r="AD41">
        <v>69.399999999999991</v>
      </c>
      <c r="AG41">
        <v>69.399999999999991</v>
      </c>
      <c r="AH41" s="5">
        <v>23.733333333333331</v>
      </c>
      <c r="AI41">
        <v>69.399999999999991</v>
      </c>
      <c r="AJ41">
        <v>3</v>
      </c>
      <c r="AK41" t="s">
        <v>33</v>
      </c>
      <c r="AL41" t="s">
        <v>289</v>
      </c>
    </row>
    <row r="42" spans="1:38" x14ac:dyDescent="0.3">
      <c r="A42" t="s">
        <v>217</v>
      </c>
      <c r="B42">
        <v>44</v>
      </c>
      <c r="C42">
        <v>1</v>
      </c>
      <c r="D42" t="s">
        <v>76</v>
      </c>
      <c r="E42" t="s">
        <v>29</v>
      </c>
      <c r="F42" t="s">
        <v>141</v>
      </c>
      <c r="G42" t="s">
        <v>80</v>
      </c>
      <c r="H42" t="s">
        <v>67</v>
      </c>
      <c r="I42" t="s">
        <v>25</v>
      </c>
      <c r="J42">
        <v>21.8</v>
      </c>
      <c r="K42">
        <v>0.4</v>
      </c>
      <c r="L42">
        <v>21.400000000000002</v>
      </c>
      <c r="M42">
        <v>1</v>
      </c>
      <c r="P42">
        <v>0</v>
      </c>
      <c r="Q42">
        <v>1</v>
      </c>
      <c r="T42">
        <v>0</v>
      </c>
      <c r="U42">
        <v>1</v>
      </c>
      <c r="V42">
        <v>21.7</v>
      </c>
      <c r="W42">
        <v>0.4</v>
      </c>
      <c r="X42">
        <v>21.3</v>
      </c>
      <c r="Y42">
        <v>1</v>
      </c>
      <c r="Z42">
        <v>22.1</v>
      </c>
      <c r="AA42">
        <v>0.4</v>
      </c>
      <c r="AB42">
        <v>21.700000000000003</v>
      </c>
      <c r="AC42">
        <v>1</v>
      </c>
      <c r="AD42">
        <v>64.400000000000006</v>
      </c>
      <c r="AG42">
        <v>64.400000000000006</v>
      </c>
      <c r="AH42" s="5">
        <v>21.866666666666664</v>
      </c>
      <c r="AI42">
        <v>64.400000000000006</v>
      </c>
      <c r="AJ42">
        <v>1</v>
      </c>
      <c r="AK42" t="s">
        <v>33</v>
      </c>
      <c r="AL42" t="s">
        <v>290</v>
      </c>
    </row>
    <row r="43" spans="1:38" x14ac:dyDescent="0.3">
      <c r="A43" t="s">
        <v>217</v>
      </c>
      <c r="B43">
        <v>46</v>
      </c>
      <c r="C43">
        <v>1</v>
      </c>
      <c r="D43" t="s">
        <v>76</v>
      </c>
      <c r="E43" t="s">
        <v>29</v>
      </c>
      <c r="F43" t="s">
        <v>141</v>
      </c>
      <c r="G43" t="s">
        <v>81</v>
      </c>
      <c r="H43" t="s">
        <v>67</v>
      </c>
      <c r="I43" t="s">
        <v>25</v>
      </c>
      <c r="J43">
        <v>21.4</v>
      </c>
      <c r="K43">
        <v>1</v>
      </c>
      <c r="L43">
        <v>20.399999999999999</v>
      </c>
      <c r="M43">
        <v>2</v>
      </c>
      <c r="P43">
        <v>0</v>
      </c>
      <c r="Q43">
        <v>1</v>
      </c>
      <c r="T43">
        <v>0</v>
      </c>
      <c r="U43">
        <v>1</v>
      </c>
      <c r="V43">
        <v>19.5</v>
      </c>
      <c r="W43">
        <v>1</v>
      </c>
      <c r="X43">
        <v>18.5</v>
      </c>
      <c r="Y43">
        <v>2</v>
      </c>
      <c r="Z43">
        <v>22.6</v>
      </c>
      <c r="AA43">
        <v>1</v>
      </c>
      <c r="AB43">
        <v>21.6</v>
      </c>
      <c r="AC43">
        <v>2</v>
      </c>
      <c r="AD43">
        <v>60.5</v>
      </c>
      <c r="AG43">
        <v>60.5</v>
      </c>
      <c r="AH43" s="5">
        <v>21.166666666666668</v>
      </c>
      <c r="AI43">
        <v>60.5</v>
      </c>
      <c r="AJ43">
        <v>2</v>
      </c>
      <c r="AK43" t="s">
        <v>33</v>
      </c>
      <c r="AL43" t="s">
        <v>291</v>
      </c>
    </row>
    <row r="44" spans="1:38" x14ac:dyDescent="0.3">
      <c r="A44" t="s">
        <v>214</v>
      </c>
      <c r="B44">
        <v>47</v>
      </c>
      <c r="C44">
        <v>2</v>
      </c>
      <c r="D44" t="s">
        <v>76</v>
      </c>
      <c r="E44" t="s">
        <v>23</v>
      </c>
      <c r="F44" t="s">
        <v>77</v>
      </c>
      <c r="G44" t="s">
        <v>48</v>
      </c>
      <c r="H44" t="s">
        <v>49</v>
      </c>
      <c r="I44" t="s">
        <v>25</v>
      </c>
      <c r="L44">
        <v>0</v>
      </c>
      <c r="M44">
        <v>1</v>
      </c>
      <c r="N44">
        <v>20.399999999999999</v>
      </c>
      <c r="O44">
        <v>0.3</v>
      </c>
      <c r="P44">
        <v>20.099999999999998</v>
      </c>
      <c r="Q44">
        <v>1</v>
      </c>
      <c r="R44">
        <v>20.399999999999999</v>
      </c>
      <c r="S44">
        <v>0.3</v>
      </c>
      <c r="T44">
        <v>20.099999999999998</v>
      </c>
      <c r="U44">
        <v>1</v>
      </c>
      <c r="X44">
        <v>0</v>
      </c>
      <c r="Y44">
        <v>1</v>
      </c>
      <c r="AB44">
        <v>0</v>
      </c>
      <c r="AC44">
        <v>1</v>
      </c>
      <c r="AD44">
        <v>40.199999999999996</v>
      </c>
      <c r="AG44">
        <v>40.199999999999996</v>
      </c>
      <c r="AH44" s="5">
        <v>20.399999999999999</v>
      </c>
      <c r="AI44">
        <v>40.199999999999996</v>
      </c>
      <c r="AJ44">
        <v>1</v>
      </c>
      <c r="AK44" t="s">
        <v>33</v>
      </c>
      <c r="AL44" t="s">
        <v>282</v>
      </c>
    </row>
    <row r="45" spans="1:38" x14ac:dyDescent="0.3">
      <c r="A45" t="s">
        <v>215</v>
      </c>
      <c r="B45">
        <v>39</v>
      </c>
      <c r="C45">
        <v>2</v>
      </c>
      <c r="D45" t="s">
        <v>76</v>
      </c>
      <c r="E45" t="s">
        <v>27</v>
      </c>
      <c r="F45" t="s">
        <v>141</v>
      </c>
      <c r="G45" t="s">
        <v>66</v>
      </c>
      <c r="H45" t="s">
        <v>67</v>
      </c>
      <c r="I45" t="s">
        <v>25</v>
      </c>
      <c r="L45">
        <v>0</v>
      </c>
      <c r="M45">
        <v>1</v>
      </c>
      <c r="N45">
        <v>28.7</v>
      </c>
      <c r="O45">
        <v>0.1</v>
      </c>
      <c r="P45">
        <v>28.599999999999998</v>
      </c>
      <c r="Q45">
        <v>1</v>
      </c>
      <c r="R45">
        <v>28.7</v>
      </c>
      <c r="S45">
        <v>0.1</v>
      </c>
      <c r="T45">
        <v>28.599999999999998</v>
      </c>
      <c r="U45">
        <v>1</v>
      </c>
      <c r="X45">
        <v>0</v>
      </c>
      <c r="Y45">
        <v>1</v>
      </c>
      <c r="AB45">
        <v>0</v>
      </c>
      <c r="AC45">
        <v>1</v>
      </c>
      <c r="AD45">
        <v>57.199999999999996</v>
      </c>
      <c r="AG45">
        <v>57.199999999999996</v>
      </c>
      <c r="AH45" s="5">
        <v>28.7</v>
      </c>
      <c r="AI45">
        <v>57.199999999999996</v>
      </c>
      <c r="AJ45">
        <v>1</v>
      </c>
      <c r="AK45" t="s">
        <v>33</v>
      </c>
      <c r="AL45" t="s">
        <v>283</v>
      </c>
    </row>
    <row r="46" spans="1:38" x14ac:dyDescent="0.3">
      <c r="A46" t="s">
        <v>215</v>
      </c>
      <c r="B46">
        <v>45</v>
      </c>
      <c r="C46">
        <v>2</v>
      </c>
      <c r="D46" t="s">
        <v>76</v>
      </c>
      <c r="E46" t="s">
        <v>27</v>
      </c>
      <c r="F46" t="s">
        <v>141</v>
      </c>
      <c r="G46" t="s">
        <v>65</v>
      </c>
      <c r="H46" t="s">
        <v>49</v>
      </c>
      <c r="I46" t="s">
        <v>25</v>
      </c>
      <c r="L46">
        <v>0</v>
      </c>
      <c r="M46">
        <v>1</v>
      </c>
      <c r="N46">
        <v>26.7</v>
      </c>
      <c r="O46">
        <v>0.1</v>
      </c>
      <c r="P46">
        <v>26.599999999999998</v>
      </c>
      <c r="Q46">
        <v>2</v>
      </c>
      <c r="R46">
        <v>26.2</v>
      </c>
      <c r="S46">
        <v>0.1</v>
      </c>
      <c r="T46">
        <v>26.099999999999998</v>
      </c>
      <c r="U46">
        <v>2</v>
      </c>
      <c r="X46">
        <v>0</v>
      </c>
      <c r="Y46">
        <v>1</v>
      </c>
      <c r="AB46">
        <v>0</v>
      </c>
      <c r="AC46">
        <v>1</v>
      </c>
      <c r="AD46">
        <v>52.699999999999996</v>
      </c>
      <c r="AG46">
        <v>52.699999999999996</v>
      </c>
      <c r="AH46" s="5">
        <v>26.45</v>
      </c>
      <c r="AI46">
        <v>52.699999999999996</v>
      </c>
      <c r="AJ46">
        <v>2</v>
      </c>
      <c r="AK46" t="s">
        <v>33</v>
      </c>
      <c r="AL46" t="s">
        <v>286</v>
      </c>
    </row>
    <row r="47" spans="1:38" x14ac:dyDescent="0.3">
      <c r="A47" t="s">
        <v>215</v>
      </c>
      <c r="B47">
        <v>41</v>
      </c>
      <c r="C47">
        <v>2</v>
      </c>
      <c r="D47" t="s">
        <v>76</v>
      </c>
      <c r="E47" t="s">
        <v>27</v>
      </c>
      <c r="F47" t="s">
        <v>141</v>
      </c>
      <c r="G47" t="s">
        <v>50</v>
      </c>
      <c r="H47" t="s">
        <v>49</v>
      </c>
      <c r="I47" t="s">
        <v>25</v>
      </c>
      <c r="L47">
        <v>0</v>
      </c>
      <c r="M47">
        <v>1</v>
      </c>
      <c r="N47">
        <v>24.5</v>
      </c>
      <c r="O47">
        <v>0.1</v>
      </c>
      <c r="P47">
        <v>24.4</v>
      </c>
      <c r="Q47">
        <v>3</v>
      </c>
      <c r="R47">
        <v>24.4</v>
      </c>
      <c r="S47">
        <v>0.1</v>
      </c>
      <c r="T47">
        <v>24.299999999999997</v>
      </c>
      <c r="U47">
        <v>3</v>
      </c>
      <c r="X47">
        <v>0</v>
      </c>
      <c r="Y47">
        <v>1</v>
      </c>
      <c r="AB47">
        <v>0</v>
      </c>
      <c r="AC47">
        <v>1</v>
      </c>
      <c r="AD47">
        <v>48.699999999999996</v>
      </c>
      <c r="AG47">
        <v>48.699999999999996</v>
      </c>
      <c r="AH47" s="5">
        <v>24.45</v>
      </c>
      <c r="AI47">
        <v>48.699999999999996</v>
      </c>
      <c r="AJ47">
        <v>3</v>
      </c>
      <c r="AK47" t="s">
        <v>33</v>
      </c>
      <c r="AL47" t="s">
        <v>284</v>
      </c>
    </row>
    <row r="48" spans="1:38" x14ac:dyDescent="0.3">
      <c r="A48" t="s">
        <v>215</v>
      </c>
      <c r="B48">
        <v>43</v>
      </c>
      <c r="C48">
        <v>2</v>
      </c>
      <c r="D48" t="s">
        <v>76</v>
      </c>
      <c r="E48" t="s">
        <v>27</v>
      </c>
      <c r="F48" t="s">
        <v>141</v>
      </c>
      <c r="G48" t="s">
        <v>131</v>
      </c>
      <c r="H48" t="s">
        <v>49</v>
      </c>
      <c r="I48" t="s">
        <v>25</v>
      </c>
      <c r="L48">
        <v>0</v>
      </c>
      <c r="M48">
        <v>1</v>
      </c>
      <c r="N48">
        <v>21.4</v>
      </c>
      <c r="O48">
        <v>1</v>
      </c>
      <c r="P48">
        <v>20.399999999999999</v>
      </c>
      <c r="Q48">
        <v>4</v>
      </c>
      <c r="R48">
        <v>21.5</v>
      </c>
      <c r="S48">
        <v>1</v>
      </c>
      <c r="T48">
        <v>20.5</v>
      </c>
      <c r="U48">
        <v>4</v>
      </c>
      <c r="X48">
        <v>0</v>
      </c>
      <c r="Y48">
        <v>1</v>
      </c>
      <c r="AB48">
        <v>0</v>
      </c>
      <c r="AC48">
        <v>1</v>
      </c>
      <c r="AD48">
        <v>40.9</v>
      </c>
      <c r="AG48">
        <v>40.9</v>
      </c>
      <c r="AH48" s="5">
        <v>21.45</v>
      </c>
      <c r="AI48">
        <v>40.9</v>
      </c>
      <c r="AJ48">
        <v>4</v>
      </c>
      <c r="AK48" t="s">
        <v>33</v>
      </c>
      <c r="AL48" t="s">
        <v>285</v>
      </c>
    </row>
    <row r="49" spans="1:38" x14ac:dyDescent="0.3">
      <c r="A49" t="s">
        <v>218</v>
      </c>
      <c r="B49">
        <v>50</v>
      </c>
      <c r="C49">
        <v>1</v>
      </c>
      <c r="D49" t="s">
        <v>82</v>
      </c>
      <c r="E49" t="s">
        <v>30</v>
      </c>
      <c r="F49" t="s">
        <v>124</v>
      </c>
      <c r="G49" t="s">
        <v>125</v>
      </c>
      <c r="H49" t="s">
        <v>49</v>
      </c>
      <c r="I49" t="s">
        <v>25</v>
      </c>
      <c r="J49">
        <v>23.3</v>
      </c>
      <c r="K49">
        <v>0.5</v>
      </c>
      <c r="L49">
        <v>22.8</v>
      </c>
      <c r="M49">
        <v>1</v>
      </c>
      <c r="N49">
        <v>21.8</v>
      </c>
      <c r="O49">
        <v>0.5</v>
      </c>
      <c r="P49">
        <v>21.3</v>
      </c>
      <c r="Q49">
        <v>1</v>
      </c>
      <c r="R49">
        <v>22</v>
      </c>
      <c r="S49">
        <v>0.5</v>
      </c>
      <c r="T49">
        <v>21.5</v>
      </c>
      <c r="U49">
        <v>1</v>
      </c>
      <c r="X49">
        <v>0</v>
      </c>
      <c r="Y49">
        <v>1</v>
      </c>
      <c r="AB49">
        <v>0</v>
      </c>
      <c r="AC49">
        <v>1</v>
      </c>
      <c r="AD49">
        <v>65.599999999999994</v>
      </c>
      <c r="AG49">
        <v>65.599999999999994</v>
      </c>
      <c r="AH49" s="5">
        <v>22.366666666666664</v>
      </c>
      <c r="AI49">
        <v>65.599999999999994</v>
      </c>
      <c r="AJ49">
        <v>1</v>
      </c>
      <c r="AK49" t="s">
        <v>33</v>
      </c>
      <c r="AL49" t="s">
        <v>293</v>
      </c>
    </row>
    <row r="50" spans="1:38" x14ac:dyDescent="0.3">
      <c r="A50" t="s">
        <v>218</v>
      </c>
      <c r="B50">
        <v>56</v>
      </c>
      <c r="C50">
        <v>1</v>
      </c>
      <c r="D50" t="s">
        <v>82</v>
      </c>
      <c r="E50" t="s">
        <v>30</v>
      </c>
      <c r="F50" t="s">
        <v>124</v>
      </c>
      <c r="G50" t="s">
        <v>144</v>
      </c>
      <c r="H50" t="s">
        <v>86</v>
      </c>
      <c r="I50" t="s">
        <v>25</v>
      </c>
      <c r="J50">
        <v>16.8</v>
      </c>
      <c r="K50">
        <v>1.5</v>
      </c>
      <c r="L50">
        <v>15.3</v>
      </c>
      <c r="M50">
        <v>2</v>
      </c>
      <c r="N50">
        <v>16.899999999999999</v>
      </c>
      <c r="O50">
        <v>1.5</v>
      </c>
      <c r="P50">
        <v>15.399999999999999</v>
      </c>
      <c r="Q50">
        <v>2</v>
      </c>
      <c r="R50">
        <v>14</v>
      </c>
      <c r="S50">
        <v>1.5</v>
      </c>
      <c r="T50">
        <v>12.5</v>
      </c>
      <c r="U50">
        <v>2</v>
      </c>
      <c r="X50">
        <v>0</v>
      </c>
      <c r="Y50">
        <v>1</v>
      </c>
      <c r="AB50">
        <v>0</v>
      </c>
      <c r="AC50">
        <v>1</v>
      </c>
      <c r="AD50">
        <v>43.2</v>
      </c>
      <c r="AG50">
        <v>43.2</v>
      </c>
      <c r="AH50" s="5">
        <v>15.9</v>
      </c>
      <c r="AI50">
        <v>43.2</v>
      </c>
      <c r="AJ50">
        <v>2</v>
      </c>
      <c r="AK50" t="s">
        <v>33</v>
      </c>
      <c r="AL50" t="s">
        <v>296</v>
      </c>
    </row>
    <row r="51" spans="1:38" x14ac:dyDescent="0.3">
      <c r="A51" t="s">
        <v>218</v>
      </c>
      <c r="B51">
        <v>60</v>
      </c>
      <c r="C51">
        <v>1</v>
      </c>
      <c r="D51" t="s">
        <v>82</v>
      </c>
      <c r="E51" t="s">
        <v>30</v>
      </c>
      <c r="F51" t="s">
        <v>124</v>
      </c>
      <c r="G51" t="s">
        <v>146</v>
      </c>
      <c r="H51" t="s">
        <v>63</v>
      </c>
      <c r="I51" t="s">
        <v>25</v>
      </c>
      <c r="J51">
        <v>15.2</v>
      </c>
      <c r="K51">
        <v>0</v>
      </c>
      <c r="L51">
        <v>15.2</v>
      </c>
      <c r="M51">
        <v>3</v>
      </c>
      <c r="N51">
        <v>15.3</v>
      </c>
      <c r="O51">
        <v>0</v>
      </c>
      <c r="P51">
        <v>15.3</v>
      </c>
      <c r="Q51">
        <v>3</v>
      </c>
      <c r="R51">
        <v>12.4</v>
      </c>
      <c r="S51">
        <v>0</v>
      </c>
      <c r="T51">
        <v>12.4</v>
      </c>
      <c r="U51">
        <v>3</v>
      </c>
      <c r="X51">
        <v>0</v>
      </c>
      <c r="Y51">
        <v>1</v>
      </c>
      <c r="AB51">
        <v>0</v>
      </c>
      <c r="AC51">
        <v>1</v>
      </c>
      <c r="AD51">
        <v>42.9</v>
      </c>
      <c r="AG51">
        <v>42.9</v>
      </c>
      <c r="AH51" s="5">
        <v>14.299999999999999</v>
      </c>
      <c r="AI51">
        <v>42.9</v>
      </c>
      <c r="AJ51">
        <v>3</v>
      </c>
      <c r="AK51" t="s">
        <v>33</v>
      </c>
      <c r="AL51" t="s">
        <v>298</v>
      </c>
    </row>
    <row r="52" spans="1:38" x14ac:dyDescent="0.3">
      <c r="A52" t="s">
        <v>218</v>
      </c>
      <c r="B52">
        <v>54</v>
      </c>
      <c r="C52">
        <v>1</v>
      </c>
      <c r="D52" t="s">
        <v>82</v>
      </c>
      <c r="E52" t="s">
        <v>30</v>
      </c>
      <c r="F52" t="s">
        <v>124</v>
      </c>
      <c r="G52" t="s">
        <v>127</v>
      </c>
      <c r="H52" t="s">
        <v>49</v>
      </c>
      <c r="I52" t="s">
        <v>25</v>
      </c>
      <c r="J52">
        <v>12.3</v>
      </c>
      <c r="K52">
        <v>0</v>
      </c>
      <c r="L52">
        <v>12.3</v>
      </c>
      <c r="M52">
        <v>4</v>
      </c>
      <c r="N52">
        <v>10.7</v>
      </c>
      <c r="O52">
        <v>0</v>
      </c>
      <c r="P52">
        <v>10.7</v>
      </c>
      <c r="Q52">
        <v>4</v>
      </c>
      <c r="R52">
        <v>12.4</v>
      </c>
      <c r="S52">
        <v>0</v>
      </c>
      <c r="T52">
        <v>12.4</v>
      </c>
      <c r="U52">
        <v>3</v>
      </c>
      <c r="X52">
        <v>0</v>
      </c>
      <c r="Y52">
        <v>1</v>
      </c>
      <c r="AB52">
        <v>0</v>
      </c>
      <c r="AC52">
        <v>1</v>
      </c>
      <c r="AD52">
        <v>35.4</v>
      </c>
      <c r="AG52">
        <v>35.4</v>
      </c>
      <c r="AH52" s="5">
        <v>11.799999999999999</v>
      </c>
      <c r="AI52">
        <v>35.4</v>
      </c>
      <c r="AJ52">
        <v>4</v>
      </c>
      <c r="AK52" t="s">
        <v>33</v>
      </c>
      <c r="AL52" t="s">
        <v>295</v>
      </c>
    </row>
    <row r="53" spans="1:38" x14ac:dyDescent="0.3">
      <c r="A53" t="s">
        <v>218</v>
      </c>
      <c r="B53">
        <v>48</v>
      </c>
      <c r="C53">
        <v>1</v>
      </c>
      <c r="D53" t="s">
        <v>82</v>
      </c>
      <c r="E53" t="s">
        <v>30</v>
      </c>
      <c r="F53" t="s">
        <v>124</v>
      </c>
      <c r="G53" t="s">
        <v>126</v>
      </c>
      <c r="H53" t="s">
        <v>49</v>
      </c>
      <c r="I53" t="s">
        <v>25</v>
      </c>
      <c r="J53">
        <v>9.9</v>
      </c>
      <c r="K53">
        <v>0.5</v>
      </c>
      <c r="L53">
        <v>9.4</v>
      </c>
      <c r="M53">
        <v>5</v>
      </c>
      <c r="N53">
        <v>9.6</v>
      </c>
      <c r="O53">
        <v>0.5</v>
      </c>
      <c r="P53">
        <v>9.1</v>
      </c>
      <c r="Q53">
        <v>5</v>
      </c>
      <c r="R53">
        <v>9.8000000000000007</v>
      </c>
      <c r="S53">
        <v>0.5</v>
      </c>
      <c r="T53">
        <v>9.3000000000000007</v>
      </c>
      <c r="U53">
        <v>5</v>
      </c>
      <c r="X53">
        <v>0</v>
      </c>
      <c r="Y53">
        <v>1</v>
      </c>
      <c r="AB53">
        <v>0</v>
      </c>
      <c r="AC53">
        <v>1</v>
      </c>
      <c r="AD53">
        <v>27.8</v>
      </c>
      <c r="AG53">
        <v>27.8</v>
      </c>
      <c r="AH53" s="5">
        <v>9.7666666666666675</v>
      </c>
      <c r="AI53">
        <v>27.8</v>
      </c>
      <c r="AJ53">
        <v>5</v>
      </c>
      <c r="AK53" t="s">
        <v>33</v>
      </c>
      <c r="AL53" t="s">
        <v>292</v>
      </c>
    </row>
    <row r="54" spans="1:38" x14ac:dyDescent="0.3">
      <c r="A54" t="s">
        <v>218</v>
      </c>
      <c r="B54">
        <v>52</v>
      </c>
      <c r="C54">
        <v>1</v>
      </c>
      <c r="D54" t="s">
        <v>82</v>
      </c>
      <c r="E54" t="s">
        <v>30</v>
      </c>
      <c r="F54" t="s">
        <v>124</v>
      </c>
      <c r="G54" t="s">
        <v>143</v>
      </c>
      <c r="H54" t="s">
        <v>63</v>
      </c>
      <c r="I54" t="s">
        <v>25</v>
      </c>
      <c r="J54">
        <v>9.1</v>
      </c>
      <c r="K54">
        <v>0.5</v>
      </c>
      <c r="L54">
        <v>8.6</v>
      </c>
      <c r="M54">
        <v>6</v>
      </c>
      <c r="N54">
        <v>6.5</v>
      </c>
      <c r="O54">
        <v>0.5</v>
      </c>
      <c r="P54">
        <v>6</v>
      </c>
      <c r="Q54">
        <v>6</v>
      </c>
      <c r="R54">
        <v>6.7</v>
      </c>
      <c r="S54">
        <v>0.5</v>
      </c>
      <c r="T54">
        <v>6.2</v>
      </c>
      <c r="U54">
        <v>6</v>
      </c>
      <c r="X54">
        <v>0</v>
      </c>
      <c r="Y54">
        <v>1</v>
      </c>
      <c r="AB54">
        <v>0</v>
      </c>
      <c r="AC54">
        <v>1</v>
      </c>
      <c r="AD54">
        <v>20.8</v>
      </c>
      <c r="AG54">
        <v>20.8</v>
      </c>
      <c r="AH54" s="5">
        <v>7.4333333333333336</v>
      </c>
      <c r="AI54">
        <v>20.8</v>
      </c>
      <c r="AJ54">
        <v>6</v>
      </c>
      <c r="AK54" t="s">
        <v>33</v>
      </c>
      <c r="AL54" t="s">
        <v>294</v>
      </c>
    </row>
    <row r="55" spans="1:38" x14ac:dyDescent="0.3">
      <c r="A55" t="s">
        <v>218</v>
      </c>
      <c r="B55">
        <v>58</v>
      </c>
      <c r="C55">
        <v>1</v>
      </c>
      <c r="D55" t="s">
        <v>82</v>
      </c>
      <c r="E55" t="s">
        <v>30</v>
      </c>
      <c r="F55" t="s">
        <v>124</v>
      </c>
      <c r="G55" t="s">
        <v>145</v>
      </c>
      <c r="H55" t="s">
        <v>49</v>
      </c>
      <c r="I55" t="s">
        <v>25</v>
      </c>
      <c r="J55">
        <v>6.9</v>
      </c>
      <c r="K55">
        <v>0.5</v>
      </c>
      <c r="L55">
        <v>6.4</v>
      </c>
      <c r="M55">
        <v>7</v>
      </c>
      <c r="N55">
        <v>6</v>
      </c>
      <c r="O55">
        <v>0.5</v>
      </c>
      <c r="P55">
        <v>5.5</v>
      </c>
      <c r="Q55">
        <v>7</v>
      </c>
      <c r="R55">
        <v>6.4</v>
      </c>
      <c r="S55">
        <v>0.5</v>
      </c>
      <c r="T55">
        <v>5.9</v>
      </c>
      <c r="U55">
        <v>7</v>
      </c>
      <c r="X55">
        <v>0</v>
      </c>
      <c r="Y55">
        <v>1</v>
      </c>
      <c r="AB55">
        <v>0</v>
      </c>
      <c r="AC55">
        <v>1</v>
      </c>
      <c r="AD55">
        <v>17.8</v>
      </c>
      <c r="AG55">
        <v>17.8</v>
      </c>
      <c r="AH55" s="5">
        <v>6.4333333333333336</v>
      </c>
      <c r="AI55">
        <v>17.8</v>
      </c>
      <c r="AJ55">
        <v>7</v>
      </c>
      <c r="AK55" t="s">
        <v>33</v>
      </c>
      <c r="AL55" t="s">
        <v>297</v>
      </c>
    </row>
    <row r="56" spans="1:38" x14ac:dyDescent="0.3">
      <c r="A56" t="s">
        <v>227</v>
      </c>
      <c r="B56">
        <v>74</v>
      </c>
      <c r="C56">
        <v>1</v>
      </c>
      <c r="D56" t="s">
        <v>82</v>
      </c>
      <c r="E56" t="s">
        <v>29</v>
      </c>
      <c r="F56" t="s">
        <v>56</v>
      </c>
      <c r="G56" t="s">
        <v>136</v>
      </c>
      <c r="H56" t="s">
        <v>49</v>
      </c>
      <c r="I56" t="s">
        <v>25</v>
      </c>
      <c r="J56">
        <v>36.200000000000003</v>
      </c>
      <c r="K56">
        <v>1</v>
      </c>
      <c r="L56">
        <v>35.200000000000003</v>
      </c>
      <c r="M56">
        <v>1</v>
      </c>
      <c r="N56">
        <v>36.299999999999997</v>
      </c>
      <c r="O56">
        <v>1</v>
      </c>
      <c r="P56">
        <v>35.299999999999997</v>
      </c>
      <c r="Q56">
        <v>1</v>
      </c>
      <c r="R56">
        <v>36.5</v>
      </c>
      <c r="S56">
        <v>1</v>
      </c>
      <c r="T56">
        <v>35.5</v>
      </c>
      <c r="U56">
        <v>1</v>
      </c>
      <c r="X56">
        <v>0</v>
      </c>
      <c r="Y56">
        <v>1</v>
      </c>
      <c r="AB56">
        <v>0</v>
      </c>
      <c r="AC56">
        <v>1</v>
      </c>
      <c r="AD56">
        <v>106</v>
      </c>
      <c r="AG56">
        <v>106</v>
      </c>
      <c r="AH56" s="5">
        <v>36.333333333333336</v>
      </c>
      <c r="AI56">
        <v>106</v>
      </c>
      <c r="AJ56">
        <v>1</v>
      </c>
      <c r="AK56" t="s">
        <v>33</v>
      </c>
      <c r="AL56" t="s">
        <v>367</v>
      </c>
    </row>
    <row r="57" spans="1:38" x14ac:dyDescent="0.3">
      <c r="A57" t="s">
        <v>227</v>
      </c>
      <c r="B57">
        <v>80</v>
      </c>
      <c r="C57">
        <v>1</v>
      </c>
      <c r="D57" t="s">
        <v>82</v>
      </c>
      <c r="E57" t="s">
        <v>29</v>
      </c>
      <c r="F57" t="s">
        <v>56</v>
      </c>
      <c r="G57" t="s">
        <v>114</v>
      </c>
      <c r="H57" t="s">
        <v>67</v>
      </c>
      <c r="I57" t="s">
        <v>25</v>
      </c>
      <c r="J57">
        <v>35.299999999999997</v>
      </c>
      <c r="K57">
        <v>1.5</v>
      </c>
      <c r="L57">
        <v>33.799999999999997</v>
      </c>
      <c r="M57">
        <v>2</v>
      </c>
      <c r="N57">
        <v>33.4</v>
      </c>
      <c r="O57">
        <v>1.5</v>
      </c>
      <c r="P57">
        <v>31.9</v>
      </c>
      <c r="Q57">
        <v>2</v>
      </c>
      <c r="R57">
        <v>36.4</v>
      </c>
      <c r="S57">
        <v>1.5</v>
      </c>
      <c r="T57">
        <v>34.9</v>
      </c>
      <c r="U57">
        <v>2</v>
      </c>
      <c r="X57">
        <v>0</v>
      </c>
      <c r="Y57">
        <v>1</v>
      </c>
      <c r="AB57">
        <v>0</v>
      </c>
      <c r="AC57">
        <v>1</v>
      </c>
      <c r="AD57">
        <v>100.6</v>
      </c>
      <c r="AG57">
        <v>100.6</v>
      </c>
      <c r="AH57" s="5">
        <v>35.033333333333331</v>
      </c>
      <c r="AI57">
        <v>100.6</v>
      </c>
      <c r="AJ57">
        <v>2</v>
      </c>
      <c r="AK57" t="s">
        <v>33</v>
      </c>
      <c r="AL57" t="s">
        <v>370</v>
      </c>
    </row>
    <row r="58" spans="1:38" x14ac:dyDescent="0.3">
      <c r="A58" t="s">
        <v>227</v>
      </c>
      <c r="B58">
        <v>84</v>
      </c>
      <c r="C58">
        <v>1</v>
      </c>
      <c r="D58" t="s">
        <v>82</v>
      </c>
      <c r="E58" t="s">
        <v>29</v>
      </c>
      <c r="F58" t="s">
        <v>56</v>
      </c>
      <c r="G58" t="s">
        <v>140</v>
      </c>
      <c r="H58" t="s">
        <v>86</v>
      </c>
      <c r="I58" t="s">
        <v>25</v>
      </c>
      <c r="J58">
        <v>34.4</v>
      </c>
      <c r="K58">
        <v>1.5</v>
      </c>
      <c r="L58">
        <v>32.9</v>
      </c>
      <c r="M58">
        <v>3</v>
      </c>
      <c r="N58">
        <v>32</v>
      </c>
      <c r="O58">
        <v>1.5</v>
      </c>
      <c r="P58">
        <v>30.5</v>
      </c>
      <c r="Q58">
        <v>3</v>
      </c>
      <c r="R58">
        <v>35.4</v>
      </c>
      <c r="S58">
        <v>1.5</v>
      </c>
      <c r="T58">
        <v>33.9</v>
      </c>
      <c r="U58">
        <v>3</v>
      </c>
      <c r="X58">
        <v>0</v>
      </c>
      <c r="Y58">
        <v>1</v>
      </c>
      <c r="AB58">
        <v>0</v>
      </c>
      <c r="AC58">
        <v>1</v>
      </c>
      <c r="AD58">
        <v>97.3</v>
      </c>
      <c r="AG58">
        <v>97.3</v>
      </c>
      <c r="AH58" s="5">
        <v>33.933333333333337</v>
      </c>
      <c r="AI58">
        <v>97.3</v>
      </c>
      <c r="AJ58">
        <v>3</v>
      </c>
      <c r="AK58" t="s">
        <v>33</v>
      </c>
      <c r="AL58" t="s">
        <v>372</v>
      </c>
    </row>
    <row r="59" spans="1:38" x14ac:dyDescent="0.3">
      <c r="A59" t="s">
        <v>227</v>
      </c>
      <c r="B59">
        <v>76</v>
      </c>
      <c r="C59">
        <v>1</v>
      </c>
      <c r="D59" t="s">
        <v>82</v>
      </c>
      <c r="E59" t="s">
        <v>29</v>
      </c>
      <c r="F59" t="s">
        <v>56</v>
      </c>
      <c r="G59" t="s">
        <v>111</v>
      </c>
      <c r="H59" t="s">
        <v>32</v>
      </c>
      <c r="I59" t="s">
        <v>25</v>
      </c>
      <c r="J59">
        <v>33.299999999999997</v>
      </c>
      <c r="K59">
        <v>2.5</v>
      </c>
      <c r="L59">
        <v>30.799999999999997</v>
      </c>
      <c r="M59">
        <v>4</v>
      </c>
      <c r="N59">
        <v>32.5</v>
      </c>
      <c r="O59">
        <v>2.5</v>
      </c>
      <c r="P59">
        <v>30</v>
      </c>
      <c r="Q59">
        <v>4</v>
      </c>
      <c r="R59">
        <v>35</v>
      </c>
      <c r="S59">
        <v>2.5</v>
      </c>
      <c r="T59">
        <v>32.5</v>
      </c>
      <c r="U59">
        <v>4</v>
      </c>
      <c r="X59">
        <v>0</v>
      </c>
      <c r="Y59">
        <v>1</v>
      </c>
      <c r="AB59">
        <v>0</v>
      </c>
      <c r="AC59">
        <v>1</v>
      </c>
      <c r="AD59">
        <v>93.3</v>
      </c>
      <c r="AG59">
        <v>93.3</v>
      </c>
      <c r="AH59" s="5">
        <v>33.6</v>
      </c>
      <c r="AI59">
        <v>93.3</v>
      </c>
      <c r="AJ59">
        <v>4</v>
      </c>
      <c r="AK59" t="s">
        <v>33</v>
      </c>
      <c r="AL59" t="s">
        <v>368</v>
      </c>
    </row>
    <row r="60" spans="1:38" x14ac:dyDescent="0.3">
      <c r="A60" t="s">
        <v>227</v>
      </c>
      <c r="B60">
        <v>82</v>
      </c>
      <c r="C60">
        <v>1</v>
      </c>
      <c r="D60" t="s">
        <v>82</v>
      </c>
      <c r="E60" t="s">
        <v>29</v>
      </c>
      <c r="F60" t="s">
        <v>56</v>
      </c>
      <c r="G60" t="s">
        <v>112</v>
      </c>
      <c r="H60" t="s">
        <v>73</v>
      </c>
      <c r="I60" t="s">
        <v>28</v>
      </c>
      <c r="J60">
        <v>22</v>
      </c>
      <c r="K60">
        <v>1</v>
      </c>
      <c r="L60">
        <v>21</v>
      </c>
      <c r="M60">
        <v>5</v>
      </c>
      <c r="N60">
        <v>21.1</v>
      </c>
      <c r="O60">
        <v>1</v>
      </c>
      <c r="P60">
        <v>20.100000000000001</v>
      </c>
      <c r="Q60">
        <v>5</v>
      </c>
      <c r="R60">
        <v>26</v>
      </c>
      <c r="S60">
        <v>1</v>
      </c>
      <c r="T60">
        <v>25</v>
      </c>
      <c r="U60">
        <v>5</v>
      </c>
      <c r="X60">
        <v>0</v>
      </c>
      <c r="Y60">
        <v>1</v>
      </c>
      <c r="AB60">
        <v>0</v>
      </c>
      <c r="AC60">
        <v>1</v>
      </c>
      <c r="AD60">
        <v>66.099999999999994</v>
      </c>
      <c r="AG60">
        <v>66.099999999999994</v>
      </c>
      <c r="AH60" s="5">
        <v>23.033333333333331</v>
      </c>
      <c r="AI60">
        <v>66.099999999999994</v>
      </c>
      <c r="AJ60">
        <v>5</v>
      </c>
      <c r="AK60" t="s">
        <v>33</v>
      </c>
      <c r="AL60" t="s">
        <v>371</v>
      </c>
    </row>
    <row r="61" spans="1:38" x14ac:dyDescent="0.3">
      <c r="A61" t="s">
        <v>227</v>
      </c>
      <c r="B61">
        <v>78</v>
      </c>
      <c r="C61">
        <v>1</v>
      </c>
      <c r="D61" t="s">
        <v>82</v>
      </c>
      <c r="E61" t="s">
        <v>29</v>
      </c>
      <c r="F61" t="s">
        <v>56</v>
      </c>
      <c r="G61" t="s">
        <v>72</v>
      </c>
      <c r="H61" t="s">
        <v>73</v>
      </c>
      <c r="I61" t="s">
        <v>28</v>
      </c>
      <c r="J61">
        <v>21</v>
      </c>
      <c r="K61">
        <v>1.5</v>
      </c>
      <c r="L61">
        <v>19.5</v>
      </c>
      <c r="M61">
        <v>6</v>
      </c>
      <c r="N61">
        <v>21.4</v>
      </c>
      <c r="O61">
        <v>1.5</v>
      </c>
      <c r="P61">
        <v>19.899999999999999</v>
      </c>
      <c r="Q61">
        <v>6</v>
      </c>
      <c r="R61">
        <v>20.100000000000001</v>
      </c>
      <c r="S61">
        <v>1.5</v>
      </c>
      <c r="T61">
        <v>18.600000000000001</v>
      </c>
      <c r="U61">
        <v>6</v>
      </c>
      <c r="X61">
        <v>0</v>
      </c>
      <c r="Y61">
        <v>1</v>
      </c>
      <c r="AB61">
        <v>0</v>
      </c>
      <c r="AC61">
        <v>1</v>
      </c>
      <c r="AD61">
        <v>58</v>
      </c>
      <c r="AG61">
        <v>58</v>
      </c>
      <c r="AH61" s="5">
        <v>20.833333333333332</v>
      </c>
      <c r="AI61">
        <v>58</v>
      </c>
      <c r="AJ61">
        <v>6</v>
      </c>
      <c r="AK61" t="s">
        <v>33</v>
      </c>
      <c r="AL61" t="s">
        <v>369</v>
      </c>
    </row>
    <row r="62" spans="1:38" x14ac:dyDescent="0.3">
      <c r="A62" t="s">
        <v>226</v>
      </c>
      <c r="B62">
        <v>68</v>
      </c>
      <c r="C62">
        <v>1</v>
      </c>
      <c r="D62" t="s">
        <v>82</v>
      </c>
      <c r="E62" t="s">
        <v>29</v>
      </c>
      <c r="F62" t="s">
        <v>43</v>
      </c>
      <c r="G62" t="s">
        <v>171</v>
      </c>
      <c r="H62" t="s">
        <v>67</v>
      </c>
      <c r="I62" t="s">
        <v>25</v>
      </c>
      <c r="J62">
        <v>21.4</v>
      </c>
      <c r="K62">
        <v>2.5</v>
      </c>
      <c r="L62">
        <v>18.899999999999999</v>
      </c>
      <c r="M62">
        <v>1</v>
      </c>
      <c r="N62">
        <v>21.6</v>
      </c>
      <c r="O62">
        <v>2.5</v>
      </c>
      <c r="P62">
        <v>19.100000000000001</v>
      </c>
      <c r="Q62">
        <v>1</v>
      </c>
      <c r="R62">
        <v>21.9</v>
      </c>
      <c r="S62">
        <v>2.5</v>
      </c>
      <c r="T62">
        <v>19.399999999999999</v>
      </c>
      <c r="U62">
        <v>1</v>
      </c>
      <c r="X62">
        <v>0</v>
      </c>
      <c r="Y62">
        <v>1</v>
      </c>
      <c r="AB62">
        <v>0</v>
      </c>
      <c r="AC62">
        <v>1</v>
      </c>
      <c r="AD62">
        <v>57.4</v>
      </c>
      <c r="AG62">
        <v>57.4</v>
      </c>
      <c r="AH62" s="5">
        <v>21.633333333333336</v>
      </c>
      <c r="AI62">
        <v>57.4</v>
      </c>
      <c r="AJ62">
        <v>1</v>
      </c>
      <c r="AK62" t="s">
        <v>33</v>
      </c>
      <c r="AL62" t="s">
        <v>364</v>
      </c>
    </row>
    <row r="63" spans="1:38" x14ac:dyDescent="0.3">
      <c r="A63" t="s">
        <v>226</v>
      </c>
      <c r="B63">
        <v>66</v>
      </c>
      <c r="C63">
        <v>1</v>
      </c>
      <c r="D63" t="s">
        <v>82</v>
      </c>
      <c r="E63" t="s">
        <v>29</v>
      </c>
      <c r="F63" t="s">
        <v>43</v>
      </c>
      <c r="G63" t="s">
        <v>113</v>
      </c>
      <c r="H63" t="s">
        <v>45</v>
      </c>
      <c r="I63" t="s">
        <v>25</v>
      </c>
      <c r="J63">
        <v>16.600000000000001</v>
      </c>
      <c r="K63">
        <v>0.5</v>
      </c>
      <c r="L63">
        <v>16.100000000000001</v>
      </c>
      <c r="M63">
        <v>2</v>
      </c>
      <c r="N63">
        <v>16.8</v>
      </c>
      <c r="O63">
        <v>0.5</v>
      </c>
      <c r="P63">
        <v>16.3</v>
      </c>
      <c r="Q63">
        <v>2</v>
      </c>
      <c r="R63">
        <v>16.2</v>
      </c>
      <c r="S63">
        <v>0.5</v>
      </c>
      <c r="T63">
        <v>15.7</v>
      </c>
      <c r="U63">
        <v>2</v>
      </c>
      <c r="X63">
        <v>0</v>
      </c>
      <c r="Y63">
        <v>1</v>
      </c>
      <c r="AB63">
        <v>0</v>
      </c>
      <c r="AC63">
        <v>1</v>
      </c>
      <c r="AD63">
        <v>48.100000000000009</v>
      </c>
      <c r="AG63">
        <v>48.100000000000009</v>
      </c>
      <c r="AH63" s="5">
        <v>16.533333333333335</v>
      </c>
      <c r="AI63">
        <v>48.100000000000009</v>
      </c>
      <c r="AJ63">
        <v>2</v>
      </c>
      <c r="AK63" t="s">
        <v>33</v>
      </c>
      <c r="AL63" t="s">
        <v>363</v>
      </c>
    </row>
    <row r="64" spans="1:38" x14ac:dyDescent="0.3">
      <c r="A64" t="s">
        <v>226</v>
      </c>
      <c r="B64">
        <v>72</v>
      </c>
      <c r="C64">
        <v>1</v>
      </c>
      <c r="D64" t="s">
        <v>82</v>
      </c>
      <c r="E64" t="s">
        <v>29</v>
      </c>
      <c r="F64" t="s">
        <v>43</v>
      </c>
      <c r="G64" t="s">
        <v>172</v>
      </c>
      <c r="H64" t="s">
        <v>32</v>
      </c>
      <c r="I64" t="s">
        <v>25</v>
      </c>
      <c r="J64">
        <v>17</v>
      </c>
      <c r="K64">
        <v>3</v>
      </c>
      <c r="L64">
        <v>14</v>
      </c>
      <c r="M64">
        <v>3</v>
      </c>
      <c r="N64">
        <v>18.5</v>
      </c>
      <c r="O64">
        <v>3</v>
      </c>
      <c r="P64">
        <v>15.5</v>
      </c>
      <c r="Q64">
        <v>3</v>
      </c>
      <c r="R64">
        <v>16.8</v>
      </c>
      <c r="S64">
        <v>3</v>
      </c>
      <c r="T64">
        <v>13.8</v>
      </c>
      <c r="U64">
        <v>3</v>
      </c>
      <c r="X64">
        <v>0</v>
      </c>
      <c r="Y64">
        <v>1</v>
      </c>
      <c r="AB64">
        <v>0</v>
      </c>
      <c r="AC64">
        <v>1</v>
      </c>
      <c r="AD64">
        <v>43.3</v>
      </c>
      <c r="AG64">
        <v>43.3</v>
      </c>
      <c r="AH64" s="5">
        <v>17.433333333333334</v>
      </c>
      <c r="AI64">
        <v>43.3</v>
      </c>
      <c r="AJ64">
        <v>3</v>
      </c>
      <c r="AK64" t="s">
        <v>33</v>
      </c>
      <c r="AL64" t="s">
        <v>366</v>
      </c>
    </row>
    <row r="65" spans="1:38" x14ac:dyDescent="0.3">
      <c r="A65" t="s">
        <v>226</v>
      </c>
      <c r="B65">
        <v>62</v>
      </c>
      <c r="C65">
        <v>1</v>
      </c>
      <c r="D65" t="s">
        <v>82</v>
      </c>
      <c r="E65" t="s">
        <v>29</v>
      </c>
      <c r="F65" t="s">
        <v>43</v>
      </c>
      <c r="G65" t="s">
        <v>170</v>
      </c>
      <c r="H65" t="s">
        <v>109</v>
      </c>
      <c r="I65" t="s">
        <v>28</v>
      </c>
      <c r="J65">
        <v>11.8</v>
      </c>
      <c r="K65">
        <v>1.5</v>
      </c>
      <c r="L65">
        <v>10.3</v>
      </c>
      <c r="M65">
        <v>4</v>
      </c>
      <c r="N65">
        <v>11.7</v>
      </c>
      <c r="O65">
        <v>1.5</v>
      </c>
      <c r="P65">
        <v>10.199999999999999</v>
      </c>
      <c r="Q65">
        <v>4</v>
      </c>
      <c r="R65">
        <v>12.4</v>
      </c>
      <c r="S65">
        <v>1.5</v>
      </c>
      <c r="T65">
        <v>10.9</v>
      </c>
      <c r="U65">
        <v>4</v>
      </c>
      <c r="X65">
        <v>0</v>
      </c>
      <c r="Y65">
        <v>1</v>
      </c>
      <c r="AB65">
        <v>0</v>
      </c>
      <c r="AC65">
        <v>1</v>
      </c>
      <c r="AD65">
        <v>31.4</v>
      </c>
      <c r="AG65">
        <v>31.4</v>
      </c>
      <c r="AH65" s="5">
        <v>11.966666666666667</v>
      </c>
      <c r="AI65">
        <v>31.4</v>
      </c>
      <c r="AJ65">
        <v>4</v>
      </c>
      <c r="AK65" t="s">
        <v>33</v>
      </c>
      <c r="AL65" t="s">
        <v>361</v>
      </c>
    </row>
    <row r="66" spans="1:38" x14ac:dyDescent="0.3">
      <c r="A66" t="s">
        <v>226</v>
      </c>
      <c r="B66">
        <v>70</v>
      </c>
      <c r="C66">
        <v>1</v>
      </c>
      <c r="D66" t="s">
        <v>82</v>
      </c>
      <c r="E66" t="s">
        <v>29</v>
      </c>
      <c r="F66" t="s">
        <v>43</v>
      </c>
      <c r="G66" t="s">
        <v>108</v>
      </c>
      <c r="H66" t="s">
        <v>109</v>
      </c>
      <c r="I66" t="s">
        <v>28</v>
      </c>
      <c r="J66">
        <v>12.8</v>
      </c>
      <c r="K66">
        <v>4</v>
      </c>
      <c r="L66">
        <v>8.8000000000000007</v>
      </c>
      <c r="M66">
        <v>5</v>
      </c>
      <c r="N66">
        <v>10.4</v>
      </c>
      <c r="O66">
        <v>4</v>
      </c>
      <c r="P66">
        <v>6.4</v>
      </c>
      <c r="Q66">
        <v>5</v>
      </c>
      <c r="R66">
        <v>11.9</v>
      </c>
      <c r="S66">
        <v>4</v>
      </c>
      <c r="T66">
        <v>7.9</v>
      </c>
      <c r="U66">
        <v>5</v>
      </c>
      <c r="X66">
        <v>0</v>
      </c>
      <c r="Y66">
        <v>1</v>
      </c>
      <c r="AB66">
        <v>0</v>
      </c>
      <c r="AC66">
        <v>1</v>
      </c>
      <c r="AD66">
        <v>23.1</v>
      </c>
      <c r="AG66">
        <v>23.1</v>
      </c>
      <c r="AH66" s="5">
        <v>11.700000000000001</v>
      </c>
      <c r="AI66">
        <v>23.1</v>
      </c>
      <c r="AJ66">
        <v>5</v>
      </c>
      <c r="AK66" t="s">
        <v>33</v>
      </c>
      <c r="AL66" t="s">
        <v>365</v>
      </c>
    </row>
    <row r="67" spans="1:38" x14ac:dyDescent="0.3">
      <c r="A67" t="s">
        <v>226</v>
      </c>
      <c r="B67">
        <v>64</v>
      </c>
      <c r="C67">
        <v>1</v>
      </c>
      <c r="D67" t="s">
        <v>82</v>
      </c>
      <c r="E67" t="s">
        <v>29</v>
      </c>
      <c r="F67" t="s">
        <v>43</v>
      </c>
      <c r="G67" t="s">
        <v>115</v>
      </c>
      <c r="H67" t="s">
        <v>63</v>
      </c>
      <c r="I67" t="s">
        <v>25</v>
      </c>
      <c r="L67">
        <v>0</v>
      </c>
      <c r="M67">
        <v>6</v>
      </c>
      <c r="P67">
        <v>0</v>
      </c>
      <c r="Q67">
        <v>6</v>
      </c>
      <c r="T67">
        <v>0</v>
      </c>
      <c r="U67">
        <v>6</v>
      </c>
      <c r="X67">
        <v>0</v>
      </c>
      <c r="Y67">
        <v>1</v>
      </c>
      <c r="AB67">
        <v>0</v>
      </c>
      <c r="AC67">
        <v>1</v>
      </c>
      <c r="AD67">
        <v>0</v>
      </c>
      <c r="AG67">
        <v>0</v>
      </c>
      <c r="AI67">
        <v>0</v>
      </c>
      <c r="AJ67">
        <v>6</v>
      </c>
      <c r="AK67" t="s">
        <v>33</v>
      </c>
      <c r="AL67" t="s">
        <v>362</v>
      </c>
    </row>
    <row r="68" spans="1:38" x14ac:dyDescent="0.3">
      <c r="A68" t="s">
        <v>219</v>
      </c>
      <c r="B68">
        <v>57</v>
      </c>
      <c r="C68">
        <v>2</v>
      </c>
      <c r="D68" t="s">
        <v>82</v>
      </c>
      <c r="E68" t="s">
        <v>23</v>
      </c>
      <c r="F68" t="s">
        <v>51</v>
      </c>
      <c r="G68" t="s">
        <v>91</v>
      </c>
      <c r="H68" t="s">
        <v>45</v>
      </c>
      <c r="I68" t="s">
        <v>25</v>
      </c>
      <c r="L68">
        <v>0</v>
      </c>
      <c r="M68">
        <v>1</v>
      </c>
      <c r="P68">
        <v>0</v>
      </c>
      <c r="Q68">
        <v>1</v>
      </c>
      <c r="T68">
        <v>0</v>
      </c>
      <c r="U68">
        <v>1</v>
      </c>
      <c r="V68">
        <v>12.3</v>
      </c>
      <c r="W68">
        <v>0.5</v>
      </c>
      <c r="X68">
        <v>11.8</v>
      </c>
      <c r="Y68">
        <v>1</v>
      </c>
      <c r="Z68">
        <v>12</v>
      </c>
      <c r="AA68">
        <v>0.5</v>
      </c>
      <c r="AB68">
        <v>11.5</v>
      </c>
      <c r="AC68">
        <v>1</v>
      </c>
      <c r="AD68">
        <v>23.3</v>
      </c>
      <c r="AG68">
        <v>23.3</v>
      </c>
      <c r="AH68" s="5">
        <v>12.15</v>
      </c>
      <c r="AI68">
        <v>23.3</v>
      </c>
      <c r="AJ68">
        <v>1</v>
      </c>
      <c r="AK68" t="s">
        <v>33</v>
      </c>
      <c r="AL68" t="s">
        <v>303</v>
      </c>
    </row>
    <row r="69" spans="1:38" x14ac:dyDescent="0.3">
      <c r="A69" t="s">
        <v>219</v>
      </c>
      <c r="B69">
        <v>61</v>
      </c>
      <c r="C69">
        <v>2</v>
      </c>
      <c r="D69" t="s">
        <v>82</v>
      </c>
      <c r="E69" t="s">
        <v>23</v>
      </c>
      <c r="F69" t="s">
        <v>51</v>
      </c>
      <c r="G69" t="s">
        <v>149</v>
      </c>
      <c r="H69" t="s">
        <v>32</v>
      </c>
      <c r="I69" t="s">
        <v>25</v>
      </c>
      <c r="L69">
        <v>0</v>
      </c>
      <c r="M69">
        <v>1</v>
      </c>
      <c r="P69">
        <v>0</v>
      </c>
      <c r="Q69">
        <v>1</v>
      </c>
      <c r="T69">
        <v>0</v>
      </c>
      <c r="U69">
        <v>1</v>
      </c>
      <c r="V69">
        <v>12.3</v>
      </c>
      <c r="W69">
        <v>0.5</v>
      </c>
      <c r="X69">
        <v>11.8</v>
      </c>
      <c r="Y69">
        <v>1</v>
      </c>
      <c r="Z69">
        <v>11.3</v>
      </c>
      <c r="AA69">
        <v>0.5</v>
      </c>
      <c r="AB69">
        <v>10.8</v>
      </c>
      <c r="AC69">
        <v>2</v>
      </c>
      <c r="AD69">
        <v>22.6</v>
      </c>
      <c r="AG69">
        <v>22.6</v>
      </c>
      <c r="AH69" s="5">
        <v>11.8</v>
      </c>
      <c r="AI69">
        <v>22.6</v>
      </c>
      <c r="AJ69">
        <v>2</v>
      </c>
      <c r="AK69" t="s">
        <v>33</v>
      </c>
      <c r="AL69" t="s">
        <v>305</v>
      </c>
    </row>
    <row r="70" spans="1:38" x14ac:dyDescent="0.3">
      <c r="A70" t="s">
        <v>219</v>
      </c>
      <c r="B70">
        <v>53</v>
      </c>
      <c r="C70">
        <v>2</v>
      </c>
      <c r="D70" t="s">
        <v>82</v>
      </c>
      <c r="E70" t="s">
        <v>23</v>
      </c>
      <c r="F70" t="s">
        <v>51</v>
      </c>
      <c r="G70" t="s">
        <v>147</v>
      </c>
      <c r="H70" t="s">
        <v>47</v>
      </c>
      <c r="I70" t="s">
        <v>25</v>
      </c>
      <c r="L70">
        <v>0</v>
      </c>
      <c r="M70">
        <v>1</v>
      </c>
      <c r="P70">
        <v>0</v>
      </c>
      <c r="Q70">
        <v>1</v>
      </c>
      <c r="T70">
        <v>0</v>
      </c>
      <c r="U70">
        <v>1</v>
      </c>
      <c r="V70">
        <v>11.3</v>
      </c>
      <c r="W70">
        <v>0</v>
      </c>
      <c r="X70">
        <v>11.3</v>
      </c>
      <c r="Y70">
        <v>3</v>
      </c>
      <c r="Z70">
        <v>10.8</v>
      </c>
      <c r="AA70">
        <v>0</v>
      </c>
      <c r="AB70">
        <v>10.8</v>
      </c>
      <c r="AC70">
        <v>2</v>
      </c>
      <c r="AD70">
        <v>22.1</v>
      </c>
      <c r="AG70">
        <v>22.1</v>
      </c>
      <c r="AH70" s="5">
        <v>11.05</v>
      </c>
      <c r="AI70">
        <v>22.1</v>
      </c>
      <c r="AJ70">
        <v>3</v>
      </c>
      <c r="AK70" t="s">
        <v>33</v>
      </c>
      <c r="AL70" t="s">
        <v>301</v>
      </c>
    </row>
    <row r="71" spans="1:38" x14ac:dyDescent="0.3">
      <c r="A71" t="s">
        <v>219</v>
      </c>
      <c r="B71">
        <v>69</v>
      </c>
      <c r="C71">
        <v>2</v>
      </c>
      <c r="D71" t="s">
        <v>82</v>
      </c>
      <c r="E71" t="s">
        <v>23</v>
      </c>
      <c r="F71" t="s">
        <v>51</v>
      </c>
      <c r="G71" t="s">
        <v>128</v>
      </c>
      <c r="H71" t="s">
        <v>32</v>
      </c>
      <c r="I71" t="s">
        <v>25</v>
      </c>
      <c r="L71">
        <v>0</v>
      </c>
      <c r="M71">
        <v>1</v>
      </c>
      <c r="P71">
        <v>0</v>
      </c>
      <c r="Q71">
        <v>1</v>
      </c>
      <c r="T71">
        <v>0</v>
      </c>
      <c r="U71">
        <v>1</v>
      </c>
      <c r="V71">
        <v>11.8</v>
      </c>
      <c r="W71">
        <v>1</v>
      </c>
      <c r="X71">
        <v>10.8</v>
      </c>
      <c r="Y71">
        <v>4</v>
      </c>
      <c r="Z71">
        <v>10.6</v>
      </c>
      <c r="AA71">
        <v>1</v>
      </c>
      <c r="AB71">
        <v>9.6</v>
      </c>
      <c r="AC71">
        <v>6</v>
      </c>
      <c r="AD71">
        <v>20.399999999999999</v>
      </c>
      <c r="AG71">
        <v>20.399999999999999</v>
      </c>
      <c r="AH71" s="5">
        <v>11.2</v>
      </c>
      <c r="AI71">
        <v>20.399999999999999</v>
      </c>
      <c r="AJ71">
        <v>4</v>
      </c>
      <c r="AK71" t="s">
        <v>33</v>
      </c>
      <c r="AL71" t="s">
        <v>309</v>
      </c>
    </row>
    <row r="72" spans="1:38" x14ac:dyDescent="0.3">
      <c r="A72" t="s">
        <v>219</v>
      </c>
      <c r="B72">
        <v>65</v>
      </c>
      <c r="C72">
        <v>2</v>
      </c>
      <c r="D72" t="s">
        <v>82</v>
      </c>
      <c r="E72" t="s">
        <v>23</v>
      </c>
      <c r="F72" t="s">
        <v>51</v>
      </c>
      <c r="G72" t="s">
        <v>151</v>
      </c>
      <c r="H72" t="s">
        <v>47</v>
      </c>
      <c r="I72" t="s">
        <v>25</v>
      </c>
      <c r="L72">
        <v>0</v>
      </c>
      <c r="M72">
        <v>1</v>
      </c>
      <c r="P72">
        <v>0</v>
      </c>
      <c r="Q72">
        <v>1</v>
      </c>
      <c r="T72">
        <v>0</v>
      </c>
      <c r="U72">
        <v>1</v>
      </c>
      <c r="V72">
        <v>11</v>
      </c>
      <c r="W72">
        <v>1</v>
      </c>
      <c r="X72">
        <v>10</v>
      </c>
      <c r="Y72">
        <v>5</v>
      </c>
      <c r="Z72">
        <v>10.95</v>
      </c>
      <c r="AA72">
        <v>1</v>
      </c>
      <c r="AB72">
        <v>9.9499999999999993</v>
      </c>
      <c r="AC72">
        <v>4</v>
      </c>
      <c r="AD72">
        <v>19.95</v>
      </c>
      <c r="AG72">
        <v>19.95</v>
      </c>
      <c r="AH72" s="5">
        <v>10.975</v>
      </c>
      <c r="AI72">
        <v>19.95</v>
      </c>
      <c r="AJ72">
        <v>5</v>
      </c>
      <c r="AK72" t="s">
        <v>33</v>
      </c>
      <c r="AL72" t="s">
        <v>307</v>
      </c>
    </row>
    <row r="73" spans="1:38" x14ac:dyDescent="0.3">
      <c r="A73" t="s">
        <v>219</v>
      </c>
      <c r="B73">
        <v>85</v>
      </c>
      <c r="C73">
        <v>2</v>
      </c>
      <c r="D73" t="s">
        <v>82</v>
      </c>
      <c r="E73" t="s">
        <v>23</v>
      </c>
      <c r="F73" t="s">
        <v>51</v>
      </c>
      <c r="G73" t="s">
        <v>88</v>
      </c>
      <c r="H73" t="s">
        <v>63</v>
      </c>
      <c r="I73" t="s">
        <v>25</v>
      </c>
      <c r="L73">
        <v>0</v>
      </c>
      <c r="M73">
        <v>1</v>
      </c>
      <c r="P73">
        <v>0</v>
      </c>
      <c r="Q73">
        <v>1</v>
      </c>
      <c r="T73">
        <v>0</v>
      </c>
      <c r="U73">
        <v>1</v>
      </c>
      <c r="V73">
        <v>10.4</v>
      </c>
      <c r="W73">
        <v>0.5</v>
      </c>
      <c r="X73">
        <v>9.9</v>
      </c>
      <c r="Y73">
        <v>6</v>
      </c>
      <c r="Z73">
        <v>10.3</v>
      </c>
      <c r="AA73">
        <v>0.5</v>
      </c>
      <c r="AB73">
        <v>9.8000000000000007</v>
      </c>
      <c r="AC73">
        <v>5</v>
      </c>
      <c r="AD73">
        <v>19.700000000000003</v>
      </c>
      <c r="AG73">
        <v>19.700000000000003</v>
      </c>
      <c r="AH73" s="5">
        <v>10.350000000000001</v>
      </c>
      <c r="AI73">
        <v>19.700000000000003</v>
      </c>
      <c r="AJ73">
        <v>6</v>
      </c>
      <c r="AK73" t="s">
        <v>33</v>
      </c>
      <c r="AL73" t="s">
        <v>317</v>
      </c>
    </row>
    <row r="74" spans="1:38" x14ac:dyDescent="0.3">
      <c r="A74" t="s">
        <v>219</v>
      </c>
      <c r="B74">
        <v>51</v>
      </c>
      <c r="C74">
        <v>2</v>
      </c>
      <c r="D74" t="s">
        <v>82</v>
      </c>
      <c r="E74" t="s">
        <v>23</v>
      </c>
      <c r="F74" t="s">
        <v>51</v>
      </c>
      <c r="G74" t="s">
        <v>102</v>
      </c>
      <c r="H74" t="s">
        <v>86</v>
      </c>
      <c r="I74" t="s">
        <v>25</v>
      </c>
      <c r="L74">
        <v>0</v>
      </c>
      <c r="M74">
        <v>1</v>
      </c>
      <c r="P74">
        <v>0</v>
      </c>
      <c r="Q74">
        <v>1</v>
      </c>
      <c r="T74">
        <v>0</v>
      </c>
      <c r="U74">
        <v>1</v>
      </c>
      <c r="V74">
        <v>10.199999999999999</v>
      </c>
      <c r="W74">
        <v>0.5</v>
      </c>
      <c r="X74">
        <v>9.6999999999999993</v>
      </c>
      <c r="Y74">
        <v>8</v>
      </c>
      <c r="Z74">
        <v>9.9</v>
      </c>
      <c r="AA74">
        <v>0.5</v>
      </c>
      <c r="AB74">
        <v>9.4</v>
      </c>
      <c r="AC74">
        <v>7</v>
      </c>
      <c r="AD74">
        <v>19.100000000000001</v>
      </c>
      <c r="AG74">
        <v>19.100000000000001</v>
      </c>
      <c r="AH74" s="5">
        <v>10.050000000000001</v>
      </c>
      <c r="AI74">
        <v>19.100000000000001</v>
      </c>
      <c r="AJ74">
        <v>7</v>
      </c>
      <c r="AK74" t="s">
        <v>33</v>
      </c>
      <c r="AL74" t="s">
        <v>300</v>
      </c>
    </row>
    <row r="75" spans="1:38" x14ac:dyDescent="0.3">
      <c r="A75" t="s">
        <v>219</v>
      </c>
      <c r="B75">
        <v>79</v>
      </c>
      <c r="C75">
        <v>2</v>
      </c>
      <c r="D75" t="s">
        <v>82</v>
      </c>
      <c r="E75" t="s">
        <v>23</v>
      </c>
      <c r="F75" t="s">
        <v>51</v>
      </c>
      <c r="G75" t="s">
        <v>83</v>
      </c>
      <c r="H75" t="s">
        <v>63</v>
      </c>
      <c r="I75" t="s">
        <v>25</v>
      </c>
      <c r="L75">
        <v>0</v>
      </c>
      <c r="M75">
        <v>1</v>
      </c>
      <c r="P75">
        <v>0</v>
      </c>
      <c r="Q75">
        <v>1</v>
      </c>
      <c r="T75">
        <v>0</v>
      </c>
      <c r="U75">
        <v>1</v>
      </c>
      <c r="V75">
        <v>9.8000000000000007</v>
      </c>
      <c r="W75">
        <v>0</v>
      </c>
      <c r="X75">
        <v>9.8000000000000007</v>
      </c>
      <c r="Y75">
        <v>7</v>
      </c>
      <c r="Z75">
        <v>9.1999999999999993</v>
      </c>
      <c r="AA75">
        <v>0</v>
      </c>
      <c r="AB75">
        <v>9.1999999999999993</v>
      </c>
      <c r="AC75">
        <v>8</v>
      </c>
      <c r="AD75">
        <v>19</v>
      </c>
      <c r="AG75">
        <v>19</v>
      </c>
      <c r="AH75" s="5">
        <v>9.5</v>
      </c>
      <c r="AI75">
        <v>19</v>
      </c>
      <c r="AJ75">
        <v>8</v>
      </c>
      <c r="AK75" t="s">
        <v>33</v>
      </c>
      <c r="AL75" t="s">
        <v>314</v>
      </c>
    </row>
    <row r="76" spans="1:38" x14ac:dyDescent="0.3">
      <c r="A76" t="s">
        <v>219</v>
      </c>
      <c r="B76">
        <v>55</v>
      </c>
      <c r="C76">
        <v>2</v>
      </c>
      <c r="D76" t="s">
        <v>82</v>
      </c>
      <c r="E76" t="s">
        <v>23</v>
      </c>
      <c r="F76" t="s">
        <v>51</v>
      </c>
      <c r="G76" t="s">
        <v>93</v>
      </c>
      <c r="H76" t="s">
        <v>45</v>
      </c>
      <c r="I76" t="s">
        <v>25</v>
      </c>
      <c r="L76">
        <v>0</v>
      </c>
      <c r="M76">
        <v>1</v>
      </c>
      <c r="P76">
        <v>0</v>
      </c>
      <c r="Q76">
        <v>1</v>
      </c>
      <c r="T76">
        <v>0</v>
      </c>
      <c r="U76">
        <v>1</v>
      </c>
      <c r="V76">
        <v>9.6</v>
      </c>
      <c r="W76">
        <v>0.5</v>
      </c>
      <c r="X76">
        <v>9.1</v>
      </c>
      <c r="Y76">
        <v>10</v>
      </c>
      <c r="Z76">
        <v>9.5</v>
      </c>
      <c r="AA76">
        <v>0.5</v>
      </c>
      <c r="AB76">
        <v>9</v>
      </c>
      <c r="AC76">
        <v>9</v>
      </c>
      <c r="AD76">
        <v>18.100000000000001</v>
      </c>
      <c r="AG76">
        <v>18.100000000000001</v>
      </c>
      <c r="AH76" s="5">
        <v>9.5500000000000007</v>
      </c>
      <c r="AI76">
        <v>18.100000000000001</v>
      </c>
      <c r="AJ76">
        <v>9</v>
      </c>
      <c r="AK76" t="s">
        <v>33</v>
      </c>
      <c r="AL76" t="s">
        <v>302</v>
      </c>
    </row>
    <row r="77" spans="1:38" x14ac:dyDescent="0.3">
      <c r="A77" t="s">
        <v>219</v>
      </c>
      <c r="B77">
        <v>59</v>
      </c>
      <c r="C77">
        <v>2</v>
      </c>
      <c r="D77" t="s">
        <v>82</v>
      </c>
      <c r="E77" t="s">
        <v>23</v>
      </c>
      <c r="F77" t="s">
        <v>51</v>
      </c>
      <c r="G77" t="s">
        <v>148</v>
      </c>
      <c r="H77" t="s">
        <v>63</v>
      </c>
      <c r="I77" t="s">
        <v>25</v>
      </c>
      <c r="L77">
        <v>0</v>
      </c>
      <c r="M77">
        <v>1</v>
      </c>
      <c r="P77">
        <v>0</v>
      </c>
      <c r="Q77">
        <v>1</v>
      </c>
      <c r="T77">
        <v>0</v>
      </c>
      <c r="U77">
        <v>1</v>
      </c>
      <c r="V77">
        <v>9</v>
      </c>
      <c r="W77">
        <v>0</v>
      </c>
      <c r="X77">
        <v>9</v>
      </c>
      <c r="Y77">
        <v>11</v>
      </c>
      <c r="Z77">
        <v>8.6999999999999993</v>
      </c>
      <c r="AA77">
        <v>0</v>
      </c>
      <c r="AB77">
        <v>8.6999999999999993</v>
      </c>
      <c r="AC77">
        <v>10</v>
      </c>
      <c r="AD77">
        <v>17.7</v>
      </c>
      <c r="AG77">
        <v>17.7</v>
      </c>
      <c r="AH77" s="5">
        <v>8.85</v>
      </c>
      <c r="AI77">
        <v>17.7</v>
      </c>
      <c r="AJ77">
        <v>10</v>
      </c>
      <c r="AK77" t="s">
        <v>33</v>
      </c>
      <c r="AL77" t="s">
        <v>304</v>
      </c>
    </row>
    <row r="78" spans="1:38" x14ac:dyDescent="0.3">
      <c r="A78" t="s">
        <v>219</v>
      </c>
      <c r="B78">
        <v>86</v>
      </c>
      <c r="C78">
        <v>2</v>
      </c>
      <c r="D78" t="s">
        <v>82</v>
      </c>
      <c r="E78" t="s">
        <v>23</v>
      </c>
      <c r="F78" t="s">
        <v>51</v>
      </c>
      <c r="G78" t="s">
        <v>104</v>
      </c>
      <c r="H78" t="s">
        <v>45</v>
      </c>
      <c r="I78" t="s">
        <v>25</v>
      </c>
      <c r="L78">
        <v>0</v>
      </c>
      <c r="M78">
        <v>1</v>
      </c>
      <c r="P78">
        <v>0</v>
      </c>
      <c r="Q78">
        <v>1</v>
      </c>
      <c r="T78">
        <v>0</v>
      </c>
      <c r="U78">
        <v>1</v>
      </c>
      <c r="V78">
        <v>9.1999999999999993</v>
      </c>
      <c r="W78">
        <v>0</v>
      </c>
      <c r="X78">
        <v>9.1999999999999993</v>
      </c>
      <c r="Y78">
        <v>9</v>
      </c>
      <c r="Z78">
        <v>8.5</v>
      </c>
      <c r="AA78">
        <v>0</v>
      </c>
      <c r="AB78">
        <v>8.5</v>
      </c>
      <c r="AC78">
        <v>11</v>
      </c>
      <c r="AD78">
        <v>17.7</v>
      </c>
      <c r="AG78">
        <v>17.7</v>
      </c>
      <c r="AH78" s="5">
        <v>8.85</v>
      </c>
      <c r="AI78">
        <v>17.7</v>
      </c>
      <c r="AJ78">
        <v>10</v>
      </c>
      <c r="AK78" t="s">
        <v>33</v>
      </c>
      <c r="AL78" t="s">
        <v>318</v>
      </c>
    </row>
    <row r="79" spans="1:38" x14ac:dyDescent="0.3">
      <c r="A79" t="s">
        <v>219</v>
      </c>
      <c r="B79">
        <v>83</v>
      </c>
      <c r="C79">
        <v>2</v>
      </c>
      <c r="D79" t="s">
        <v>82</v>
      </c>
      <c r="E79" t="s">
        <v>23</v>
      </c>
      <c r="F79" t="s">
        <v>51</v>
      </c>
      <c r="G79" t="s">
        <v>156</v>
      </c>
      <c r="H79" t="s">
        <v>47</v>
      </c>
      <c r="I79" t="s">
        <v>25</v>
      </c>
      <c r="L79">
        <v>0</v>
      </c>
      <c r="M79">
        <v>1</v>
      </c>
      <c r="P79">
        <v>0</v>
      </c>
      <c r="Q79">
        <v>1</v>
      </c>
      <c r="T79">
        <v>0</v>
      </c>
      <c r="U79">
        <v>1</v>
      </c>
      <c r="V79">
        <v>9.5</v>
      </c>
      <c r="W79">
        <v>0.5</v>
      </c>
      <c r="X79">
        <v>9</v>
      </c>
      <c r="Y79">
        <v>11</v>
      </c>
      <c r="Z79">
        <v>8.75</v>
      </c>
      <c r="AA79">
        <v>0.5</v>
      </c>
      <c r="AB79">
        <v>8.25</v>
      </c>
      <c r="AC79">
        <v>12</v>
      </c>
      <c r="AD79">
        <v>17.25</v>
      </c>
      <c r="AG79">
        <v>17.25</v>
      </c>
      <c r="AH79" s="5">
        <v>9.125</v>
      </c>
      <c r="AI79">
        <v>17.25</v>
      </c>
      <c r="AJ79">
        <v>12</v>
      </c>
      <c r="AK79" t="s">
        <v>33</v>
      </c>
      <c r="AL79" t="s">
        <v>316</v>
      </c>
    </row>
    <row r="80" spans="1:38" x14ac:dyDescent="0.3">
      <c r="A80" t="s">
        <v>219</v>
      </c>
      <c r="B80">
        <v>77</v>
      </c>
      <c r="C80">
        <v>2</v>
      </c>
      <c r="D80" t="s">
        <v>82</v>
      </c>
      <c r="E80" t="s">
        <v>23</v>
      </c>
      <c r="F80" t="s">
        <v>51</v>
      </c>
      <c r="G80" t="s">
        <v>154</v>
      </c>
      <c r="H80" t="s">
        <v>63</v>
      </c>
      <c r="I80" t="s">
        <v>25</v>
      </c>
      <c r="L80">
        <v>0</v>
      </c>
      <c r="M80">
        <v>1</v>
      </c>
      <c r="P80">
        <v>0</v>
      </c>
      <c r="Q80">
        <v>1</v>
      </c>
      <c r="T80">
        <v>0</v>
      </c>
      <c r="U80">
        <v>1</v>
      </c>
      <c r="V80">
        <v>9.4</v>
      </c>
      <c r="W80">
        <v>0.5</v>
      </c>
      <c r="X80">
        <v>8.9</v>
      </c>
      <c r="Y80">
        <v>13</v>
      </c>
      <c r="Z80">
        <v>8.35</v>
      </c>
      <c r="AA80">
        <v>0.5</v>
      </c>
      <c r="AB80">
        <v>7.85</v>
      </c>
      <c r="AC80">
        <v>13</v>
      </c>
      <c r="AD80">
        <v>16.75</v>
      </c>
      <c r="AG80">
        <v>16.75</v>
      </c>
      <c r="AH80" s="5">
        <v>8.875</v>
      </c>
      <c r="AI80">
        <v>16.75</v>
      </c>
      <c r="AJ80">
        <v>13</v>
      </c>
      <c r="AK80" t="s">
        <v>33</v>
      </c>
      <c r="AL80" t="s">
        <v>313</v>
      </c>
    </row>
    <row r="81" spans="1:38" x14ac:dyDescent="0.3">
      <c r="A81" t="s">
        <v>219</v>
      </c>
      <c r="B81">
        <v>63</v>
      </c>
      <c r="C81">
        <v>2</v>
      </c>
      <c r="D81" t="s">
        <v>82</v>
      </c>
      <c r="E81" t="s">
        <v>23</v>
      </c>
      <c r="F81" t="s">
        <v>51</v>
      </c>
      <c r="G81" t="s">
        <v>150</v>
      </c>
      <c r="H81" t="s">
        <v>45</v>
      </c>
      <c r="I81" t="s">
        <v>25</v>
      </c>
      <c r="L81">
        <v>0</v>
      </c>
      <c r="M81">
        <v>1</v>
      </c>
      <c r="P81">
        <v>0</v>
      </c>
      <c r="Q81">
        <v>1</v>
      </c>
      <c r="T81">
        <v>0</v>
      </c>
      <c r="U81">
        <v>1</v>
      </c>
      <c r="V81">
        <v>9.3000000000000007</v>
      </c>
      <c r="W81">
        <v>0.5</v>
      </c>
      <c r="X81">
        <v>8.8000000000000007</v>
      </c>
      <c r="Y81">
        <v>14</v>
      </c>
      <c r="Z81">
        <v>8.3000000000000007</v>
      </c>
      <c r="AA81">
        <v>0.5</v>
      </c>
      <c r="AB81">
        <v>7.8000000000000007</v>
      </c>
      <c r="AC81">
        <v>14</v>
      </c>
      <c r="AD81">
        <v>16.600000000000001</v>
      </c>
      <c r="AG81">
        <v>16.600000000000001</v>
      </c>
      <c r="AH81" s="5">
        <v>8.8000000000000007</v>
      </c>
      <c r="AI81">
        <v>16.600000000000001</v>
      </c>
      <c r="AJ81">
        <v>14</v>
      </c>
      <c r="AK81" t="s">
        <v>33</v>
      </c>
      <c r="AL81" t="s">
        <v>306</v>
      </c>
    </row>
    <row r="82" spans="1:38" x14ac:dyDescent="0.3">
      <c r="A82" t="s">
        <v>219</v>
      </c>
      <c r="B82">
        <v>81</v>
      </c>
      <c r="C82">
        <v>2</v>
      </c>
      <c r="D82" t="s">
        <v>82</v>
      </c>
      <c r="E82" t="s">
        <v>23</v>
      </c>
      <c r="F82" t="s">
        <v>51</v>
      </c>
      <c r="G82" t="s">
        <v>155</v>
      </c>
      <c r="H82" t="s">
        <v>32</v>
      </c>
      <c r="I82" t="s">
        <v>25</v>
      </c>
      <c r="L82">
        <v>0</v>
      </c>
      <c r="M82">
        <v>1</v>
      </c>
      <c r="P82">
        <v>0</v>
      </c>
      <c r="Q82">
        <v>1</v>
      </c>
      <c r="T82">
        <v>0</v>
      </c>
      <c r="U82">
        <v>1</v>
      </c>
      <c r="V82">
        <v>9.1</v>
      </c>
      <c r="W82">
        <v>0.5</v>
      </c>
      <c r="X82">
        <v>8.6</v>
      </c>
      <c r="Y82">
        <v>15</v>
      </c>
      <c r="Z82">
        <v>7.75</v>
      </c>
      <c r="AA82">
        <v>0.5</v>
      </c>
      <c r="AB82">
        <v>7.25</v>
      </c>
      <c r="AC82">
        <v>16</v>
      </c>
      <c r="AD82">
        <v>15.85</v>
      </c>
      <c r="AG82">
        <v>15.85</v>
      </c>
      <c r="AH82" s="5">
        <v>8.4250000000000007</v>
      </c>
      <c r="AI82">
        <v>15.85</v>
      </c>
      <c r="AJ82">
        <v>15</v>
      </c>
      <c r="AK82" t="s">
        <v>33</v>
      </c>
      <c r="AL82" t="s">
        <v>315</v>
      </c>
    </row>
    <row r="83" spans="1:38" x14ac:dyDescent="0.3">
      <c r="A83" t="s">
        <v>219</v>
      </c>
      <c r="B83">
        <v>67</v>
      </c>
      <c r="C83">
        <v>2</v>
      </c>
      <c r="D83" t="s">
        <v>82</v>
      </c>
      <c r="E83" t="s">
        <v>23</v>
      </c>
      <c r="F83" t="s">
        <v>51</v>
      </c>
      <c r="G83" t="s">
        <v>92</v>
      </c>
      <c r="H83" t="s">
        <v>63</v>
      </c>
      <c r="I83" t="s">
        <v>25</v>
      </c>
      <c r="L83">
        <v>0</v>
      </c>
      <c r="M83">
        <v>1</v>
      </c>
      <c r="P83">
        <v>0</v>
      </c>
      <c r="Q83">
        <v>1</v>
      </c>
      <c r="T83">
        <v>0</v>
      </c>
      <c r="U83">
        <v>1</v>
      </c>
      <c r="V83">
        <v>7.8</v>
      </c>
      <c r="W83">
        <v>0</v>
      </c>
      <c r="X83">
        <v>7.8</v>
      </c>
      <c r="Y83">
        <v>17</v>
      </c>
      <c r="Z83">
        <v>7.6</v>
      </c>
      <c r="AA83">
        <v>0</v>
      </c>
      <c r="AB83">
        <v>7.6</v>
      </c>
      <c r="AC83">
        <v>15</v>
      </c>
      <c r="AD83">
        <v>15.399999999999999</v>
      </c>
      <c r="AG83">
        <v>15.399999999999999</v>
      </c>
      <c r="AH83" s="5">
        <v>7.6999999999999993</v>
      </c>
      <c r="AI83">
        <v>15.399999999999999</v>
      </c>
      <c r="AJ83">
        <v>16</v>
      </c>
      <c r="AK83" t="s">
        <v>33</v>
      </c>
      <c r="AL83" t="s">
        <v>308</v>
      </c>
    </row>
    <row r="84" spans="1:38" x14ac:dyDescent="0.3">
      <c r="A84" t="s">
        <v>219</v>
      </c>
      <c r="B84">
        <v>49</v>
      </c>
      <c r="C84">
        <v>2</v>
      </c>
      <c r="D84" t="s">
        <v>82</v>
      </c>
      <c r="E84" t="s">
        <v>23</v>
      </c>
      <c r="F84" t="s">
        <v>51</v>
      </c>
      <c r="G84" t="s">
        <v>101</v>
      </c>
      <c r="H84" t="s">
        <v>32</v>
      </c>
      <c r="I84" t="s">
        <v>25</v>
      </c>
      <c r="L84">
        <v>0</v>
      </c>
      <c r="M84">
        <v>1</v>
      </c>
      <c r="P84">
        <v>0</v>
      </c>
      <c r="Q84">
        <v>1</v>
      </c>
      <c r="T84">
        <v>0</v>
      </c>
      <c r="U84">
        <v>1</v>
      </c>
      <c r="V84">
        <v>9.4</v>
      </c>
      <c r="W84">
        <v>1.5</v>
      </c>
      <c r="X84">
        <v>7.9</v>
      </c>
      <c r="Y84">
        <v>16</v>
      </c>
      <c r="Z84">
        <v>8.1999999999999993</v>
      </c>
      <c r="AA84">
        <v>1.5</v>
      </c>
      <c r="AB84">
        <v>6.6999999999999993</v>
      </c>
      <c r="AC84">
        <v>17</v>
      </c>
      <c r="AD84">
        <v>14.6</v>
      </c>
      <c r="AG84">
        <v>14.6</v>
      </c>
      <c r="AH84" s="5">
        <v>8.8000000000000007</v>
      </c>
      <c r="AI84">
        <v>14.6</v>
      </c>
      <c r="AJ84">
        <v>17</v>
      </c>
      <c r="AK84" t="s">
        <v>33</v>
      </c>
      <c r="AL84" t="s">
        <v>299</v>
      </c>
    </row>
    <row r="85" spans="1:38" x14ac:dyDescent="0.3">
      <c r="A85" t="s">
        <v>219</v>
      </c>
      <c r="B85">
        <v>71</v>
      </c>
      <c r="C85">
        <v>2</v>
      </c>
      <c r="D85" t="s">
        <v>82</v>
      </c>
      <c r="E85" t="s">
        <v>23</v>
      </c>
      <c r="F85" t="s">
        <v>51</v>
      </c>
      <c r="G85" t="s">
        <v>152</v>
      </c>
      <c r="H85" t="s">
        <v>49</v>
      </c>
      <c r="I85" t="s">
        <v>25</v>
      </c>
      <c r="L85">
        <v>0</v>
      </c>
      <c r="M85">
        <v>1</v>
      </c>
      <c r="P85">
        <v>0</v>
      </c>
      <c r="Q85">
        <v>1</v>
      </c>
      <c r="T85">
        <v>0</v>
      </c>
      <c r="U85">
        <v>1</v>
      </c>
      <c r="V85">
        <v>7.7</v>
      </c>
      <c r="W85">
        <v>0</v>
      </c>
      <c r="X85">
        <v>7.7</v>
      </c>
      <c r="Y85">
        <v>18</v>
      </c>
      <c r="Z85">
        <v>6.65</v>
      </c>
      <c r="AA85">
        <v>0</v>
      </c>
      <c r="AB85">
        <v>6.65</v>
      </c>
      <c r="AC85">
        <v>18</v>
      </c>
      <c r="AD85">
        <v>14.350000000000001</v>
      </c>
      <c r="AG85">
        <v>14.350000000000001</v>
      </c>
      <c r="AH85" s="5">
        <v>7.1750000000000007</v>
      </c>
      <c r="AI85">
        <v>14.350000000000001</v>
      </c>
      <c r="AJ85">
        <v>18</v>
      </c>
      <c r="AK85" t="s">
        <v>33</v>
      </c>
      <c r="AL85" t="s">
        <v>310</v>
      </c>
    </row>
    <row r="86" spans="1:38" x14ac:dyDescent="0.3">
      <c r="A86" t="s">
        <v>219</v>
      </c>
      <c r="B86">
        <v>75</v>
      </c>
      <c r="C86">
        <v>2</v>
      </c>
      <c r="D86" t="s">
        <v>82</v>
      </c>
      <c r="E86" t="s">
        <v>23</v>
      </c>
      <c r="F86" t="s">
        <v>51</v>
      </c>
      <c r="G86" t="s">
        <v>153</v>
      </c>
      <c r="H86" t="s">
        <v>45</v>
      </c>
      <c r="I86" t="s">
        <v>25</v>
      </c>
      <c r="L86">
        <v>0</v>
      </c>
      <c r="M86">
        <v>1</v>
      </c>
      <c r="P86">
        <v>0</v>
      </c>
      <c r="Q86">
        <v>1</v>
      </c>
      <c r="T86">
        <v>0</v>
      </c>
      <c r="U86">
        <v>1</v>
      </c>
      <c r="V86">
        <v>9.1</v>
      </c>
      <c r="W86">
        <v>1.5</v>
      </c>
      <c r="X86">
        <v>7.6</v>
      </c>
      <c r="Y86">
        <v>19</v>
      </c>
      <c r="Z86">
        <v>8.15</v>
      </c>
      <c r="AA86">
        <v>1.5</v>
      </c>
      <c r="AB86">
        <v>6.65</v>
      </c>
      <c r="AC86">
        <v>18</v>
      </c>
      <c r="AD86">
        <v>14.25</v>
      </c>
      <c r="AG86">
        <v>14.25</v>
      </c>
      <c r="AH86" s="5">
        <v>8.625</v>
      </c>
      <c r="AI86">
        <v>14.25</v>
      </c>
      <c r="AJ86">
        <v>19</v>
      </c>
      <c r="AK86" t="s">
        <v>33</v>
      </c>
      <c r="AL86" t="s">
        <v>312</v>
      </c>
    </row>
    <row r="87" spans="1:38" x14ac:dyDescent="0.3">
      <c r="A87" t="s">
        <v>219</v>
      </c>
      <c r="B87">
        <v>73</v>
      </c>
      <c r="C87">
        <v>2</v>
      </c>
      <c r="D87" t="s">
        <v>82</v>
      </c>
      <c r="E87" t="s">
        <v>23</v>
      </c>
      <c r="F87" t="s">
        <v>51</v>
      </c>
      <c r="G87" t="s">
        <v>103</v>
      </c>
      <c r="H87" t="s">
        <v>86</v>
      </c>
      <c r="I87" t="s">
        <v>25</v>
      </c>
      <c r="L87">
        <v>0</v>
      </c>
      <c r="M87">
        <v>1</v>
      </c>
      <c r="P87">
        <v>0</v>
      </c>
      <c r="Q87">
        <v>1</v>
      </c>
      <c r="T87">
        <v>0</v>
      </c>
      <c r="U87">
        <v>1</v>
      </c>
      <c r="V87">
        <v>7.8</v>
      </c>
      <c r="W87">
        <v>1.5</v>
      </c>
      <c r="X87">
        <v>6.3</v>
      </c>
      <c r="Y87">
        <v>20</v>
      </c>
      <c r="Z87">
        <v>7.8</v>
      </c>
      <c r="AA87">
        <v>1.5</v>
      </c>
      <c r="AB87">
        <v>6.3</v>
      </c>
      <c r="AC87">
        <v>20</v>
      </c>
      <c r="AD87">
        <v>12.6</v>
      </c>
      <c r="AG87">
        <v>12.6</v>
      </c>
      <c r="AH87" s="5">
        <v>7.8</v>
      </c>
      <c r="AI87">
        <v>12.6</v>
      </c>
      <c r="AJ87">
        <v>20</v>
      </c>
      <c r="AK87" t="s">
        <v>33</v>
      </c>
      <c r="AL87" t="s">
        <v>311</v>
      </c>
    </row>
    <row r="88" spans="1:38" x14ac:dyDescent="0.3">
      <c r="A88" t="s">
        <v>220</v>
      </c>
      <c r="B88">
        <v>98</v>
      </c>
      <c r="C88">
        <v>2</v>
      </c>
      <c r="D88" t="s">
        <v>82</v>
      </c>
      <c r="E88" t="s">
        <v>23</v>
      </c>
      <c r="F88" t="s">
        <v>43</v>
      </c>
      <c r="G88" t="s">
        <v>46</v>
      </c>
      <c r="H88" t="s">
        <v>47</v>
      </c>
      <c r="I88" t="s">
        <v>25</v>
      </c>
      <c r="L88">
        <v>0</v>
      </c>
      <c r="M88">
        <v>1</v>
      </c>
      <c r="P88">
        <v>0</v>
      </c>
      <c r="Q88">
        <v>1</v>
      </c>
      <c r="R88">
        <v>22.9</v>
      </c>
      <c r="S88">
        <v>0.5</v>
      </c>
      <c r="T88">
        <v>22.4</v>
      </c>
      <c r="U88">
        <v>1</v>
      </c>
      <c r="V88">
        <v>18.399999999999999</v>
      </c>
      <c r="W88">
        <v>0.5</v>
      </c>
      <c r="X88">
        <v>17.899999999999999</v>
      </c>
      <c r="Y88">
        <v>1</v>
      </c>
      <c r="Z88">
        <v>19</v>
      </c>
      <c r="AA88">
        <v>0.5</v>
      </c>
      <c r="AB88">
        <v>18.5</v>
      </c>
      <c r="AC88">
        <v>1</v>
      </c>
      <c r="AD88">
        <v>58.8</v>
      </c>
      <c r="AG88">
        <v>58.8</v>
      </c>
      <c r="AH88" s="5">
        <v>20.099999999999998</v>
      </c>
      <c r="AI88">
        <v>58.8</v>
      </c>
      <c r="AJ88">
        <v>1</v>
      </c>
      <c r="AK88" t="s">
        <v>33</v>
      </c>
      <c r="AL88" t="s">
        <v>324</v>
      </c>
    </row>
    <row r="89" spans="1:38" x14ac:dyDescent="0.3">
      <c r="A89" t="s">
        <v>220</v>
      </c>
      <c r="B89">
        <v>100</v>
      </c>
      <c r="C89">
        <v>2</v>
      </c>
      <c r="D89" t="s">
        <v>82</v>
      </c>
      <c r="E89" t="s">
        <v>23</v>
      </c>
      <c r="F89" t="s">
        <v>43</v>
      </c>
      <c r="G89" t="s">
        <v>48</v>
      </c>
      <c r="H89" t="s">
        <v>49</v>
      </c>
      <c r="I89" t="s">
        <v>25</v>
      </c>
      <c r="L89">
        <v>0</v>
      </c>
      <c r="M89">
        <v>1</v>
      </c>
      <c r="P89">
        <v>0</v>
      </c>
      <c r="Q89">
        <v>1</v>
      </c>
      <c r="R89">
        <v>21.5</v>
      </c>
      <c r="S89">
        <v>1.5</v>
      </c>
      <c r="T89">
        <v>20</v>
      </c>
      <c r="U89">
        <v>2</v>
      </c>
      <c r="V89">
        <v>18.3</v>
      </c>
      <c r="W89">
        <v>1.5</v>
      </c>
      <c r="X89">
        <v>16.8</v>
      </c>
      <c r="Y89">
        <v>2</v>
      </c>
      <c r="Z89">
        <v>18.3</v>
      </c>
      <c r="AA89">
        <v>1.5</v>
      </c>
      <c r="AB89">
        <v>16.8</v>
      </c>
      <c r="AC89">
        <v>2</v>
      </c>
      <c r="AD89">
        <v>53.599999999999994</v>
      </c>
      <c r="AG89">
        <v>53.599999999999994</v>
      </c>
      <c r="AH89" s="5">
        <v>19.366666666666664</v>
      </c>
      <c r="AI89">
        <v>53.599999999999994</v>
      </c>
      <c r="AJ89">
        <v>2</v>
      </c>
      <c r="AK89" t="s">
        <v>33</v>
      </c>
      <c r="AL89" t="s">
        <v>325</v>
      </c>
    </row>
    <row r="90" spans="1:38" x14ac:dyDescent="0.3">
      <c r="A90" t="s">
        <v>220</v>
      </c>
      <c r="B90">
        <v>90</v>
      </c>
      <c r="C90">
        <v>2</v>
      </c>
      <c r="D90" t="s">
        <v>82</v>
      </c>
      <c r="E90" t="s">
        <v>23</v>
      </c>
      <c r="F90" t="s">
        <v>43</v>
      </c>
      <c r="G90" t="s">
        <v>84</v>
      </c>
      <c r="H90" t="s">
        <v>47</v>
      </c>
      <c r="I90" t="s">
        <v>25</v>
      </c>
      <c r="L90">
        <v>0</v>
      </c>
      <c r="M90">
        <v>1</v>
      </c>
      <c r="P90">
        <v>0</v>
      </c>
      <c r="Q90">
        <v>1</v>
      </c>
      <c r="R90">
        <v>17.7</v>
      </c>
      <c r="S90">
        <v>1</v>
      </c>
      <c r="T90">
        <v>16.7</v>
      </c>
      <c r="U90">
        <v>4</v>
      </c>
      <c r="V90">
        <v>16.600000000000001</v>
      </c>
      <c r="W90">
        <v>1</v>
      </c>
      <c r="X90">
        <v>15.600000000000001</v>
      </c>
      <c r="Y90">
        <v>4</v>
      </c>
      <c r="Z90">
        <v>17.7</v>
      </c>
      <c r="AA90">
        <v>1</v>
      </c>
      <c r="AB90">
        <v>16.7</v>
      </c>
      <c r="AC90">
        <v>3</v>
      </c>
      <c r="AD90">
        <v>49</v>
      </c>
      <c r="AG90">
        <v>49</v>
      </c>
      <c r="AH90" s="5">
        <v>17.333333333333332</v>
      </c>
      <c r="AI90">
        <v>49</v>
      </c>
      <c r="AJ90">
        <v>3</v>
      </c>
      <c r="AK90" t="s">
        <v>33</v>
      </c>
      <c r="AL90" t="s">
        <v>320</v>
      </c>
    </row>
    <row r="91" spans="1:38" x14ac:dyDescent="0.3">
      <c r="A91" t="s">
        <v>220</v>
      </c>
      <c r="B91">
        <v>94</v>
      </c>
      <c r="C91">
        <v>2</v>
      </c>
      <c r="D91" t="s">
        <v>82</v>
      </c>
      <c r="E91" t="s">
        <v>23</v>
      </c>
      <c r="F91" t="s">
        <v>43</v>
      </c>
      <c r="G91" t="s">
        <v>44</v>
      </c>
      <c r="H91" t="s">
        <v>45</v>
      </c>
      <c r="I91" t="s">
        <v>25</v>
      </c>
      <c r="L91">
        <v>0</v>
      </c>
      <c r="M91">
        <v>1</v>
      </c>
      <c r="P91">
        <v>0</v>
      </c>
      <c r="Q91">
        <v>1</v>
      </c>
      <c r="R91">
        <v>18</v>
      </c>
      <c r="S91">
        <v>1</v>
      </c>
      <c r="T91">
        <v>17</v>
      </c>
      <c r="U91">
        <v>3</v>
      </c>
      <c r="V91">
        <v>16.899999999999999</v>
      </c>
      <c r="W91">
        <v>1</v>
      </c>
      <c r="X91">
        <v>15.899999999999999</v>
      </c>
      <c r="Y91">
        <v>3</v>
      </c>
      <c r="Z91">
        <v>16.7</v>
      </c>
      <c r="AA91">
        <v>1</v>
      </c>
      <c r="AB91">
        <v>15.7</v>
      </c>
      <c r="AC91">
        <v>4</v>
      </c>
      <c r="AD91">
        <v>48.599999999999994</v>
      </c>
      <c r="AG91">
        <v>48.599999999999994</v>
      </c>
      <c r="AH91" s="5">
        <v>17.2</v>
      </c>
      <c r="AI91">
        <v>48.599999999999994</v>
      </c>
      <c r="AJ91">
        <v>4</v>
      </c>
      <c r="AK91" t="s">
        <v>33</v>
      </c>
      <c r="AL91" t="s">
        <v>322</v>
      </c>
    </row>
    <row r="92" spans="1:38" x14ac:dyDescent="0.3">
      <c r="A92" t="s">
        <v>220</v>
      </c>
      <c r="B92">
        <v>88</v>
      </c>
      <c r="C92">
        <v>2</v>
      </c>
      <c r="D92" t="s">
        <v>82</v>
      </c>
      <c r="E92" t="s">
        <v>23</v>
      </c>
      <c r="F92" t="s">
        <v>43</v>
      </c>
      <c r="G92" t="s">
        <v>85</v>
      </c>
      <c r="H92" t="s">
        <v>86</v>
      </c>
      <c r="I92" t="s">
        <v>25</v>
      </c>
      <c r="L92">
        <v>0</v>
      </c>
      <c r="M92">
        <v>1</v>
      </c>
      <c r="P92">
        <v>0</v>
      </c>
      <c r="Q92">
        <v>1</v>
      </c>
      <c r="R92">
        <v>17.3</v>
      </c>
      <c r="S92">
        <v>1</v>
      </c>
      <c r="T92">
        <v>16.3</v>
      </c>
      <c r="U92">
        <v>5</v>
      </c>
      <c r="V92">
        <v>15.4</v>
      </c>
      <c r="W92">
        <v>1</v>
      </c>
      <c r="X92">
        <v>14.4</v>
      </c>
      <c r="Y92">
        <v>7</v>
      </c>
      <c r="Z92">
        <v>11.9</v>
      </c>
      <c r="AA92">
        <v>1</v>
      </c>
      <c r="AB92">
        <v>10.9</v>
      </c>
      <c r="AC92">
        <v>7</v>
      </c>
      <c r="AD92">
        <v>41.6</v>
      </c>
      <c r="AG92">
        <v>41.6</v>
      </c>
      <c r="AH92" s="5">
        <v>14.866666666666667</v>
      </c>
      <c r="AI92">
        <v>41.6</v>
      </c>
      <c r="AJ92">
        <v>5</v>
      </c>
      <c r="AK92" t="s">
        <v>33</v>
      </c>
      <c r="AL92" t="s">
        <v>319</v>
      </c>
    </row>
    <row r="93" spans="1:38" x14ac:dyDescent="0.3">
      <c r="A93" t="s">
        <v>220</v>
      </c>
      <c r="B93">
        <v>92</v>
      </c>
      <c r="C93">
        <v>2</v>
      </c>
      <c r="D93" t="s">
        <v>82</v>
      </c>
      <c r="E93" t="s">
        <v>23</v>
      </c>
      <c r="F93" t="s">
        <v>43</v>
      </c>
      <c r="G93" t="s">
        <v>97</v>
      </c>
      <c r="H93" t="s">
        <v>45</v>
      </c>
      <c r="I93" t="s">
        <v>25</v>
      </c>
      <c r="L93">
        <v>0</v>
      </c>
      <c r="M93">
        <v>1</v>
      </c>
      <c r="P93">
        <v>0</v>
      </c>
      <c r="Q93">
        <v>1</v>
      </c>
      <c r="R93">
        <v>15.3</v>
      </c>
      <c r="S93">
        <v>0.5</v>
      </c>
      <c r="T93">
        <v>14.8</v>
      </c>
      <c r="U93">
        <v>6</v>
      </c>
      <c r="V93">
        <v>15.1</v>
      </c>
      <c r="W93">
        <v>0.5</v>
      </c>
      <c r="X93">
        <v>14.6</v>
      </c>
      <c r="Y93">
        <v>6</v>
      </c>
      <c r="Z93">
        <v>11.7</v>
      </c>
      <c r="AA93">
        <v>0.5</v>
      </c>
      <c r="AB93">
        <v>11.2</v>
      </c>
      <c r="AC93">
        <v>6</v>
      </c>
      <c r="AD93">
        <v>40.599999999999994</v>
      </c>
      <c r="AG93">
        <v>40.599999999999994</v>
      </c>
      <c r="AH93" s="5">
        <v>14.033333333333331</v>
      </c>
      <c r="AI93">
        <v>40.599999999999994</v>
      </c>
      <c r="AJ93">
        <v>6</v>
      </c>
      <c r="AK93" t="s">
        <v>33</v>
      </c>
      <c r="AL93" t="s">
        <v>321</v>
      </c>
    </row>
    <row r="94" spans="1:38" x14ac:dyDescent="0.3">
      <c r="A94" t="s">
        <v>220</v>
      </c>
      <c r="B94">
        <v>102</v>
      </c>
      <c r="C94">
        <v>2</v>
      </c>
      <c r="D94" t="s">
        <v>82</v>
      </c>
      <c r="E94" t="s">
        <v>23</v>
      </c>
      <c r="F94" t="s">
        <v>43</v>
      </c>
      <c r="G94" t="s">
        <v>94</v>
      </c>
      <c r="H94" t="s">
        <v>86</v>
      </c>
      <c r="I94" t="s">
        <v>25</v>
      </c>
      <c r="L94">
        <v>0</v>
      </c>
      <c r="M94">
        <v>1</v>
      </c>
      <c r="P94">
        <v>0</v>
      </c>
      <c r="Q94">
        <v>1</v>
      </c>
      <c r="R94">
        <v>13.6</v>
      </c>
      <c r="S94">
        <v>1.5</v>
      </c>
      <c r="T94">
        <v>12.1</v>
      </c>
      <c r="U94">
        <v>7</v>
      </c>
      <c r="V94">
        <v>15.9</v>
      </c>
      <c r="W94">
        <v>1.5</v>
      </c>
      <c r="X94">
        <v>14.4</v>
      </c>
      <c r="Y94">
        <v>7</v>
      </c>
      <c r="Z94">
        <v>13.5</v>
      </c>
      <c r="AA94">
        <v>1.5</v>
      </c>
      <c r="AB94">
        <v>12</v>
      </c>
      <c r="AC94">
        <v>5</v>
      </c>
      <c r="AD94">
        <v>38.5</v>
      </c>
      <c r="AG94">
        <v>38.5</v>
      </c>
      <c r="AH94" s="5">
        <v>14.333333333333334</v>
      </c>
      <c r="AI94">
        <v>38.5</v>
      </c>
      <c r="AJ94">
        <v>7</v>
      </c>
      <c r="AK94" t="s">
        <v>33</v>
      </c>
      <c r="AL94" t="s">
        <v>326</v>
      </c>
    </row>
    <row r="95" spans="1:38" x14ac:dyDescent="0.3">
      <c r="A95" t="s">
        <v>220</v>
      </c>
      <c r="B95">
        <v>96</v>
      </c>
      <c r="C95">
        <v>2</v>
      </c>
      <c r="D95" t="s">
        <v>82</v>
      </c>
      <c r="E95" t="s">
        <v>23</v>
      </c>
      <c r="F95" t="s">
        <v>43</v>
      </c>
      <c r="G95" t="s">
        <v>157</v>
      </c>
      <c r="H95" t="s">
        <v>109</v>
      </c>
      <c r="I95" t="s">
        <v>28</v>
      </c>
      <c r="L95">
        <v>0</v>
      </c>
      <c r="M95">
        <v>1</v>
      </c>
      <c r="P95">
        <v>0</v>
      </c>
      <c r="Q95">
        <v>1</v>
      </c>
      <c r="R95">
        <v>12.5</v>
      </c>
      <c r="S95">
        <v>0.5</v>
      </c>
      <c r="T95">
        <v>12</v>
      </c>
      <c r="U95">
        <v>8</v>
      </c>
      <c r="V95">
        <v>15.2</v>
      </c>
      <c r="W95">
        <v>0.5</v>
      </c>
      <c r="X95">
        <v>14.7</v>
      </c>
      <c r="Y95">
        <v>5</v>
      </c>
      <c r="Z95">
        <v>11.15</v>
      </c>
      <c r="AA95">
        <v>0.5</v>
      </c>
      <c r="AB95">
        <v>10.65</v>
      </c>
      <c r="AC95">
        <v>8</v>
      </c>
      <c r="AD95">
        <v>37.35</v>
      </c>
      <c r="AG95">
        <v>37.35</v>
      </c>
      <c r="AH95" s="5">
        <v>12.950000000000001</v>
      </c>
      <c r="AI95">
        <v>37.35</v>
      </c>
      <c r="AJ95">
        <v>8</v>
      </c>
      <c r="AK95" t="s">
        <v>33</v>
      </c>
      <c r="AL95" t="s">
        <v>323</v>
      </c>
    </row>
    <row r="96" spans="1:38" x14ac:dyDescent="0.3">
      <c r="A96" t="s">
        <v>224</v>
      </c>
      <c r="B96">
        <v>130</v>
      </c>
      <c r="C96">
        <v>2</v>
      </c>
      <c r="D96" t="s">
        <v>82</v>
      </c>
      <c r="E96" t="s">
        <v>27</v>
      </c>
      <c r="F96" t="s">
        <v>75</v>
      </c>
      <c r="G96" t="s">
        <v>110</v>
      </c>
      <c r="H96" t="s">
        <v>49</v>
      </c>
      <c r="I96" t="s">
        <v>25</v>
      </c>
      <c r="L96">
        <v>0</v>
      </c>
      <c r="M96">
        <v>1</v>
      </c>
      <c r="P96">
        <v>0</v>
      </c>
      <c r="Q96">
        <v>1</v>
      </c>
      <c r="R96">
        <v>34.299999999999997</v>
      </c>
      <c r="S96">
        <v>4</v>
      </c>
      <c r="T96">
        <v>30.299999999999997</v>
      </c>
      <c r="U96">
        <v>1</v>
      </c>
      <c r="V96">
        <v>32.700000000000003</v>
      </c>
      <c r="W96">
        <v>4</v>
      </c>
      <c r="X96">
        <v>28.700000000000003</v>
      </c>
      <c r="Y96">
        <v>1</v>
      </c>
      <c r="Z96">
        <v>28.7</v>
      </c>
      <c r="AA96">
        <v>4</v>
      </c>
      <c r="AB96">
        <v>24.7</v>
      </c>
      <c r="AC96">
        <v>1</v>
      </c>
      <c r="AD96">
        <v>83.7</v>
      </c>
      <c r="AG96">
        <v>83.7</v>
      </c>
      <c r="AH96" s="5">
        <v>31.900000000000002</v>
      </c>
      <c r="AI96">
        <v>83.7</v>
      </c>
      <c r="AJ96">
        <v>1</v>
      </c>
      <c r="AK96" t="s">
        <v>33</v>
      </c>
      <c r="AL96" t="s">
        <v>358</v>
      </c>
    </row>
    <row r="97" spans="1:38" x14ac:dyDescent="0.3">
      <c r="A97" t="s">
        <v>225</v>
      </c>
      <c r="B97">
        <v>125</v>
      </c>
      <c r="C97">
        <v>1</v>
      </c>
      <c r="D97" t="s">
        <v>82</v>
      </c>
      <c r="E97" t="s">
        <v>29</v>
      </c>
      <c r="F97" t="s">
        <v>51</v>
      </c>
      <c r="G97" t="s">
        <v>169</v>
      </c>
      <c r="H97" t="s">
        <v>109</v>
      </c>
      <c r="I97" t="s">
        <v>28</v>
      </c>
      <c r="J97">
        <v>13.1</v>
      </c>
      <c r="K97">
        <v>1</v>
      </c>
      <c r="L97">
        <v>12.1</v>
      </c>
      <c r="M97">
        <v>1</v>
      </c>
      <c r="N97">
        <v>12.8</v>
      </c>
      <c r="O97">
        <v>1</v>
      </c>
      <c r="P97">
        <v>11.8</v>
      </c>
      <c r="Q97">
        <v>1</v>
      </c>
      <c r="T97">
        <v>0</v>
      </c>
      <c r="U97">
        <v>1</v>
      </c>
      <c r="X97">
        <v>0</v>
      </c>
      <c r="Y97">
        <v>1</v>
      </c>
      <c r="AB97">
        <v>0</v>
      </c>
      <c r="AC97">
        <v>1</v>
      </c>
      <c r="AD97">
        <v>23.9</v>
      </c>
      <c r="AG97">
        <v>23.9</v>
      </c>
      <c r="AH97" s="5">
        <v>12.95</v>
      </c>
      <c r="AI97">
        <v>23.9</v>
      </c>
      <c r="AJ97">
        <v>1</v>
      </c>
      <c r="AK97" t="s">
        <v>33</v>
      </c>
      <c r="AL97" t="s">
        <v>360</v>
      </c>
    </row>
    <row r="98" spans="1:38" x14ac:dyDescent="0.3">
      <c r="A98" t="s">
        <v>225</v>
      </c>
      <c r="B98">
        <v>123</v>
      </c>
      <c r="C98">
        <v>1</v>
      </c>
      <c r="D98" t="s">
        <v>82</v>
      </c>
      <c r="E98" t="s">
        <v>29</v>
      </c>
      <c r="F98" t="s">
        <v>51</v>
      </c>
      <c r="G98" t="s">
        <v>168</v>
      </c>
      <c r="H98" t="s">
        <v>31</v>
      </c>
      <c r="I98" t="s">
        <v>25</v>
      </c>
      <c r="J98">
        <v>11.8</v>
      </c>
      <c r="K98">
        <v>2</v>
      </c>
      <c r="L98">
        <v>9.8000000000000007</v>
      </c>
      <c r="M98">
        <v>2</v>
      </c>
      <c r="N98">
        <v>11.8</v>
      </c>
      <c r="O98">
        <v>2</v>
      </c>
      <c r="P98">
        <v>9.8000000000000007</v>
      </c>
      <c r="Q98">
        <v>2</v>
      </c>
      <c r="T98">
        <v>0</v>
      </c>
      <c r="U98">
        <v>1</v>
      </c>
      <c r="X98">
        <v>0</v>
      </c>
      <c r="Y98">
        <v>1</v>
      </c>
      <c r="AB98">
        <v>0</v>
      </c>
      <c r="AC98">
        <v>1</v>
      </c>
      <c r="AD98">
        <v>19.600000000000001</v>
      </c>
      <c r="AG98">
        <v>19.600000000000001</v>
      </c>
      <c r="AH98" s="5">
        <v>11.8</v>
      </c>
      <c r="AI98">
        <v>19.600000000000001</v>
      </c>
      <c r="AJ98">
        <v>2</v>
      </c>
      <c r="AK98" t="s">
        <v>33</v>
      </c>
      <c r="AL98" t="s">
        <v>359</v>
      </c>
    </row>
    <row r="99" spans="1:38" x14ac:dyDescent="0.3">
      <c r="A99" t="s">
        <v>228</v>
      </c>
      <c r="B99">
        <v>127</v>
      </c>
      <c r="C99">
        <v>1</v>
      </c>
      <c r="D99" t="s">
        <v>82</v>
      </c>
      <c r="E99" t="s">
        <v>29</v>
      </c>
      <c r="F99" t="s">
        <v>75</v>
      </c>
      <c r="G99" t="s">
        <v>71</v>
      </c>
      <c r="H99" t="s">
        <v>67</v>
      </c>
      <c r="I99" t="s">
        <v>25</v>
      </c>
      <c r="J99">
        <v>43.1</v>
      </c>
      <c r="K99">
        <v>2</v>
      </c>
      <c r="L99">
        <v>41.1</v>
      </c>
      <c r="M99">
        <v>1</v>
      </c>
      <c r="N99">
        <v>41.8</v>
      </c>
      <c r="O99">
        <v>2</v>
      </c>
      <c r="P99">
        <v>39.799999999999997</v>
      </c>
      <c r="Q99">
        <v>1</v>
      </c>
      <c r="T99">
        <v>0</v>
      </c>
      <c r="U99">
        <v>1</v>
      </c>
      <c r="X99">
        <v>0</v>
      </c>
      <c r="Y99">
        <v>1</v>
      </c>
      <c r="AB99">
        <v>0</v>
      </c>
      <c r="AC99">
        <v>1</v>
      </c>
      <c r="AD99">
        <v>80.900000000000006</v>
      </c>
      <c r="AG99">
        <v>80.900000000000006</v>
      </c>
      <c r="AH99" s="5">
        <v>42.45</v>
      </c>
      <c r="AI99">
        <v>80.900000000000006</v>
      </c>
      <c r="AJ99">
        <v>1</v>
      </c>
      <c r="AK99" t="s">
        <v>33</v>
      </c>
      <c r="AL99" t="s">
        <v>373</v>
      </c>
    </row>
    <row r="100" spans="1:38" x14ac:dyDescent="0.3">
      <c r="A100" t="s">
        <v>228</v>
      </c>
      <c r="B100">
        <v>129</v>
      </c>
      <c r="C100">
        <v>1</v>
      </c>
      <c r="D100" t="s">
        <v>82</v>
      </c>
      <c r="E100" t="s">
        <v>29</v>
      </c>
      <c r="F100" t="s">
        <v>75</v>
      </c>
      <c r="G100" t="s">
        <v>79</v>
      </c>
      <c r="H100" t="s">
        <v>67</v>
      </c>
      <c r="I100" t="s">
        <v>25</v>
      </c>
      <c r="L100">
        <v>0</v>
      </c>
      <c r="M100">
        <v>2</v>
      </c>
      <c r="P100">
        <v>0</v>
      </c>
      <c r="Q100">
        <v>2</v>
      </c>
      <c r="T100">
        <v>0</v>
      </c>
      <c r="U100">
        <v>1</v>
      </c>
      <c r="X100">
        <v>0</v>
      </c>
      <c r="Y100">
        <v>1</v>
      </c>
      <c r="AB100">
        <v>0</v>
      </c>
      <c r="AC100">
        <v>1</v>
      </c>
      <c r="AD100">
        <v>0</v>
      </c>
      <c r="AG100">
        <v>0</v>
      </c>
      <c r="AI100">
        <v>0</v>
      </c>
      <c r="AJ100">
        <v>2</v>
      </c>
      <c r="AK100" t="s">
        <v>33</v>
      </c>
      <c r="AL100" t="s">
        <v>374</v>
      </c>
    </row>
    <row r="101" spans="1:38" x14ac:dyDescent="0.3">
      <c r="A101" t="s">
        <v>221</v>
      </c>
      <c r="B101">
        <v>112</v>
      </c>
      <c r="C101">
        <v>2</v>
      </c>
      <c r="D101" t="s">
        <v>82</v>
      </c>
      <c r="E101" t="s">
        <v>27</v>
      </c>
      <c r="F101" t="s">
        <v>51</v>
      </c>
      <c r="G101" t="s">
        <v>62</v>
      </c>
      <c r="H101" t="s">
        <v>63</v>
      </c>
      <c r="I101" t="s">
        <v>25</v>
      </c>
      <c r="L101">
        <v>0</v>
      </c>
      <c r="M101">
        <v>1</v>
      </c>
      <c r="P101">
        <v>0</v>
      </c>
      <c r="Q101">
        <v>1</v>
      </c>
      <c r="R101">
        <v>14.1</v>
      </c>
      <c r="S101">
        <v>1</v>
      </c>
      <c r="T101">
        <v>13.1</v>
      </c>
      <c r="U101">
        <v>1</v>
      </c>
      <c r="V101">
        <v>12.5</v>
      </c>
      <c r="W101">
        <v>1</v>
      </c>
      <c r="X101">
        <v>11.5</v>
      </c>
      <c r="Y101">
        <v>3</v>
      </c>
      <c r="Z101">
        <v>15.8</v>
      </c>
      <c r="AA101">
        <v>1</v>
      </c>
      <c r="AB101">
        <v>14.8</v>
      </c>
      <c r="AC101">
        <v>1</v>
      </c>
      <c r="AD101">
        <v>39.400000000000006</v>
      </c>
      <c r="AG101">
        <v>39.400000000000006</v>
      </c>
      <c r="AH101" s="5">
        <v>14.133333333333335</v>
      </c>
      <c r="AI101">
        <v>39.400000000000006</v>
      </c>
      <c r="AJ101">
        <v>1</v>
      </c>
      <c r="AK101" t="s">
        <v>33</v>
      </c>
      <c r="AL101" t="s">
        <v>331</v>
      </c>
    </row>
    <row r="102" spans="1:38" x14ac:dyDescent="0.3">
      <c r="A102" t="s">
        <v>221</v>
      </c>
      <c r="B102">
        <v>110</v>
      </c>
      <c r="C102">
        <v>2</v>
      </c>
      <c r="D102" t="s">
        <v>82</v>
      </c>
      <c r="E102" t="s">
        <v>27</v>
      </c>
      <c r="F102" t="s">
        <v>51</v>
      </c>
      <c r="G102" t="s">
        <v>53</v>
      </c>
      <c r="H102" t="s">
        <v>49</v>
      </c>
      <c r="I102" t="s">
        <v>25</v>
      </c>
      <c r="L102">
        <v>0</v>
      </c>
      <c r="M102">
        <v>1</v>
      </c>
      <c r="P102">
        <v>0</v>
      </c>
      <c r="Q102">
        <v>1</v>
      </c>
      <c r="R102">
        <v>12.2</v>
      </c>
      <c r="S102">
        <v>0.5</v>
      </c>
      <c r="T102">
        <v>11.7</v>
      </c>
      <c r="U102">
        <v>4</v>
      </c>
      <c r="V102">
        <v>12.5</v>
      </c>
      <c r="W102">
        <v>0.5</v>
      </c>
      <c r="X102">
        <v>12</v>
      </c>
      <c r="Y102">
        <v>1</v>
      </c>
      <c r="Z102">
        <v>11.35</v>
      </c>
      <c r="AA102">
        <v>0.5</v>
      </c>
      <c r="AB102">
        <v>10.85</v>
      </c>
      <c r="AC102">
        <v>4</v>
      </c>
      <c r="AD102">
        <v>34.549999999999997</v>
      </c>
      <c r="AG102">
        <v>34.549999999999997</v>
      </c>
      <c r="AH102" s="5">
        <v>12.016666666666666</v>
      </c>
      <c r="AI102">
        <v>34.549999999999997</v>
      </c>
      <c r="AJ102">
        <v>2</v>
      </c>
      <c r="AK102" t="s">
        <v>33</v>
      </c>
      <c r="AL102" t="s">
        <v>330</v>
      </c>
    </row>
    <row r="103" spans="1:38" x14ac:dyDescent="0.3">
      <c r="A103" t="s">
        <v>221</v>
      </c>
      <c r="B103">
        <v>106</v>
      </c>
      <c r="C103">
        <v>2</v>
      </c>
      <c r="D103" t="s">
        <v>82</v>
      </c>
      <c r="E103" t="s">
        <v>27</v>
      </c>
      <c r="F103" t="s">
        <v>51</v>
      </c>
      <c r="G103" t="s">
        <v>159</v>
      </c>
      <c r="H103" t="s">
        <v>63</v>
      </c>
      <c r="I103" t="s">
        <v>25</v>
      </c>
      <c r="L103">
        <v>0</v>
      </c>
      <c r="M103">
        <v>1</v>
      </c>
      <c r="P103">
        <v>0</v>
      </c>
      <c r="Q103">
        <v>1</v>
      </c>
      <c r="R103">
        <v>12</v>
      </c>
      <c r="S103">
        <v>0.5</v>
      </c>
      <c r="T103">
        <v>11.5</v>
      </c>
      <c r="U103">
        <v>5</v>
      </c>
      <c r="V103">
        <v>12.4</v>
      </c>
      <c r="W103">
        <v>0.5</v>
      </c>
      <c r="X103">
        <v>11.9</v>
      </c>
      <c r="Y103">
        <v>2</v>
      </c>
      <c r="Z103">
        <v>11.5</v>
      </c>
      <c r="AA103">
        <v>0.5</v>
      </c>
      <c r="AB103">
        <v>11</v>
      </c>
      <c r="AC103">
        <v>3</v>
      </c>
      <c r="AD103">
        <v>34.4</v>
      </c>
      <c r="AG103">
        <v>34.4</v>
      </c>
      <c r="AH103" s="5">
        <v>11.966666666666667</v>
      </c>
      <c r="AI103">
        <v>34.4</v>
      </c>
      <c r="AJ103">
        <v>3</v>
      </c>
      <c r="AK103" t="s">
        <v>33</v>
      </c>
      <c r="AL103" t="s">
        <v>328</v>
      </c>
    </row>
    <row r="104" spans="1:38" x14ac:dyDescent="0.3">
      <c r="A104" t="s">
        <v>221</v>
      </c>
      <c r="B104">
        <v>116</v>
      </c>
      <c r="C104">
        <v>2</v>
      </c>
      <c r="D104" t="s">
        <v>82</v>
      </c>
      <c r="E104" t="s">
        <v>27</v>
      </c>
      <c r="F104" t="s">
        <v>51</v>
      </c>
      <c r="G104" t="s">
        <v>162</v>
      </c>
      <c r="H104" t="s">
        <v>31</v>
      </c>
      <c r="I104" t="s">
        <v>25</v>
      </c>
      <c r="L104">
        <v>0</v>
      </c>
      <c r="M104">
        <v>1</v>
      </c>
      <c r="P104">
        <v>0</v>
      </c>
      <c r="Q104">
        <v>1</v>
      </c>
      <c r="R104">
        <v>10.4</v>
      </c>
      <c r="S104">
        <v>0.5</v>
      </c>
      <c r="T104">
        <v>9.9</v>
      </c>
      <c r="U104">
        <v>6</v>
      </c>
      <c r="V104">
        <v>11.6</v>
      </c>
      <c r="W104">
        <v>0.5</v>
      </c>
      <c r="X104">
        <v>11.1</v>
      </c>
      <c r="Y104">
        <v>4</v>
      </c>
      <c r="Z104">
        <v>11.8</v>
      </c>
      <c r="AA104">
        <v>0.5</v>
      </c>
      <c r="AB104">
        <v>11.3</v>
      </c>
      <c r="AC104">
        <v>2</v>
      </c>
      <c r="AD104">
        <v>32.299999999999997</v>
      </c>
      <c r="AG104">
        <v>32.299999999999997</v>
      </c>
      <c r="AH104" s="5">
        <v>11.266666666666666</v>
      </c>
      <c r="AI104">
        <v>32.299999999999997</v>
      </c>
      <c r="AJ104">
        <v>4</v>
      </c>
      <c r="AK104" t="s">
        <v>33</v>
      </c>
      <c r="AL104" t="s">
        <v>333</v>
      </c>
    </row>
    <row r="105" spans="1:38" x14ac:dyDescent="0.3">
      <c r="A105" t="s">
        <v>221</v>
      </c>
      <c r="B105">
        <v>114</v>
      </c>
      <c r="C105">
        <v>2</v>
      </c>
      <c r="D105" t="s">
        <v>82</v>
      </c>
      <c r="E105" t="s">
        <v>27</v>
      </c>
      <c r="F105" t="s">
        <v>51</v>
      </c>
      <c r="G105" t="s">
        <v>161</v>
      </c>
      <c r="H105" t="s">
        <v>31</v>
      </c>
      <c r="I105" t="s">
        <v>25</v>
      </c>
      <c r="L105">
        <v>0</v>
      </c>
      <c r="M105">
        <v>1</v>
      </c>
      <c r="P105">
        <v>0</v>
      </c>
      <c r="Q105">
        <v>1</v>
      </c>
      <c r="R105">
        <v>14.3</v>
      </c>
      <c r="S105">
        <v>2.5</v>
      </c>
      <c r="T105">
        <v>11.8</v>
      </c>
      <c r="U105">
        <v>3</v>
      </c>
      <c r="V105">
        <v>13.3</v>
      </c>
      <c r="W105">
        <v>2.5</v>
      </c>
      <c r="X105">
        <v>10.8</v>
      </c>
      <c r="Y105">
        <v>5</v>
      </c>
      <c r="Z105">
        <v>11.6</v>
      </c>
      <c r="AA105">
        <v>2.5</v>
      </c>
      <c r="AB105">
        <v>9.1</v>
      </c>
      <c r="AC105">
        <v>5</v>
      </c>
      <c r="AD105">
        <v>31.700000000000003</v>
      </c>
      <c r="AG105">
        <v>31.700000000000003</v>
      </c>
      <c r="AH105" s="5">
        <v>13.066666666666668</v>
      </c>
      <c r="AI105">
        <v>31.700000000000003</v>
      </c>
      <c r="AJ105">
        <v>5</v>
      </c>
      <c r="AK105" t="s">
        <v>33</v>
      </c>
      <c r="AL105" t="s">
        <v>332</v>
      </c>
    </row>
    <row r="106" spans="1:38" x14ac:dyDescent="0.3">
      <c r="A106" t="s">
        <v>221</v>
      </c>
      <c r="B106">
        <v>104</v>
      </c>
      <c r="C106">
        <v>2</v>
      </c>
      <c r="D106" t="s">
        <v>82</v>
      </c>
      <c r="E106" t="s">
        <v>27</v>
      </c>
      <c r="F106" t="s">
        <v>51</v>
      </c>
      <c r="G106" t="s">
        <v>158</v>
      </c>
      <c r="H106" t="s">
        <v>32</v>
      </c>
      <c r="I106" t="s">
        <v>25</v>
      </c>
      <c r="L106">
        <v>0</v>
      </c>
      <c r="M106">
        <v>1</v>
      </c>
      <c r="P106">
        <v>0</v>
      </c>
      <c r="Q106">
        <v>1</v>
      </c>
      <c r="R106">
        <v>12.5</v>
      </c>
      <c r="S106">
        <v>0.5</v>
      </c>
      <c r="T106">
        <v>12</v>
      </c>
      <c r="U106">
        <v>2</v>
      </c>
      <c r="V106">
        <v>10.199999999999999</v>
      </c>
      <c r="W106">
        <v>0.5</v>
      </c>
      <c r="X106">
        <v>9.6999999999999993</v>
      </c>
      <c r="Y106">
        <v>6</v>
      </c>
      <c r="Z106">
        <v>8.5</v>
      </c>
      <c r="AA106">
        <v>0.5</v>
      </c>
      <c r="AB106">
        <v>8</v>
      </c>
      <c r="AC106">
        <v>6</v>
      </c>
      <c r="AD106">
        <v>29.7</v>
      </c>
      <c r="AG106">
        <v>29.7</v>
      </c>
      <c r="AH106" s="5">
        <v>10.4</v>
      </c>
      <c r="AI106">
        <v>29.7</v>
      </c>
      <c r="AJ106">
        <v>6</v>
      </c>
      <c r="AK106" t="s">
        <v>33</v>
      </c>
      <c r="AL106" t="s">
        <v>327</v>
      </c>
    </row>
    <row r="107" spans="1:38" x14ac:dyDescent="0.3">
      <c r="A107" t="s">
        <v>221</v>
      </c>
      <c r="B107">
        <v>108</v>
      </c>
      <c r="C107">
        <v>2</v>
      </c>
      <c r="D107" t="s">
        <v>82</v>
      </c>
      <c r="E107" t="s">
        <v>27</v>
      </c>
      <c r="F107" t="s">
        <v>51</v>
      </c>
      <c r="G107" t="s">
        <v>160</v>
      </c>
      <c r="H107" t="s">
        <v>32</v>
      </c>
      <c r="I107" t="s">
        <v>25</v>
      </c>
      <c r="L107">
        <v>0</v>
      </c>
      <c r="M107">
        <v>1</v>
      </c>
      <c r="P107">
        <v>0</v>
      </c>
      <c r="Q107">
        <v>1</v>
      </c>
      <c r="R107">
        <v>10.9</v>
      </c>
      <c r="S107">
        <v>2.5</v>
      </c>
      <c r="T107">
        <v>8.4</v>
      </c>
      <c r="U107">
        <v>7</v>
      </c>
      <c r="V107">
        <v>11.2</v>
      </c>
      <c r="W107">
        <v>2</v>
      </c>
      <c r="X107">
        <v>9.1999999999999993</v>
      </c>
      <c r="Y107">
        <v>7</v>
      </c>
      <c r="Z107">
        <v>9.25</v>
      </c>
      <c r="AA107">
        <v>2.5</v>
      </c>
      <c r="AB107">
        <v>6.75</v>
      </c>
      <c r="AC107">
        <v>7</v>
      </c>
      <c r="AD107">
        <v>24.35</v>
      </c>
      <c r="AG107">
        <v>24.35</v>
      </c>
      <c r="AH107" s="5">
        <v>10.450000000000001</v>
      </c>
      <c r="AI107">
        <v>24.35</v>
      </c>
      <c r="AJ107">
        <v>7</v>
      </c>
      <c r="AK107" t="s">
        <v>33</v>
      </c>
      <c r="AL107" t="s">
        <v>329</v>
      </c>
    </row>
    <row r="108" spans="1:38" x14ac:dyDescent="0.3">
      <c r="A108" t="s">
        <v>222</v>
      </c>
      <c r="B108">
        <v>93</v>
      </c>
      <c r="C108">
        <v>1</v>
      </c>
      <c r="D108" t="s">
        <v>82</v>
      </c>
      <c r="E108" t="s">
        <v>27</v>
      </c>
      <c r="F108" t="s">
        <v>43</v>
      </c>
      <c r="G108" t="s">
        <v>50</v>
      </c>
      <c r="H108" t="s">
        <v>49</v>
      </c>
      <c r="I108" t="s">
        <v>25</v>
      </c>
      <c r="J108">
        <v>38</v>
      </c>
      <c r="K108">
        <v>0</v>
      </c>
      <c r="L108">
        <v>38</v>
      </c>
      <c r="M108">
        <v>1</v>
      </c>
      <c r="N108">
        <v>38</v>
      </c>
      <c r="O108">
        <v>0</v>
      </c>
      <c r="P108">
        <v>38</v>
      </c>
      <c r="Q108">
        <v>1</v>
      </c>
      <c r="T108">
        <v>0</v>
      </c>
      <c r="U108">
        <v>1</v>
      </c>
      <c r="X108">
        <v>0</v>
      </c>
      <c r="Y108">
        <v>1</v>
      </c>
      <c r="AB108">
        <v>0</v>
      </c>
      <c r="AC108">
        <v>1</v>
      </c>
      <c r="AD108">
        <v>76</v>
      </c>
      <c r="AG108">
        <v>76</v>
      </c>
      <c r="AH108" s="5">
        <v>38</v>
      </c>
      <c r="AI108">
        <v>76</v>
      </c>
      <c r="AJ108">
        <v>1</v>
      </c>
      <c r="AK108" t="s">
        <v>33</v>
      </c>
      <c r="AL108" t="s">
        <v>337</v>
      </c>
    </row>
    <row r="109" spans="1:38" x14ac:dyDescent="0.3">
      <c r="A109" t="s">
        <v>222</v>
      </c>
      <c r="B109">
        <v>103</v>
      </c>
      <c r="C109">
        <v>1</v>
      </c>
      <c r="D109" t="s">
        <v>82</v>
      </c>
      <c r="E109" t="s">
        <v>27</v>
      </c>
      <c r="F109" t="s">
        <v>43</v>
      </c>
      <c r="G109" t="s">
        <v>107</v>
      </c>
      <c r="H109" t="s">
        <v>32</v>
      </c>
      <c r="I109" t="s">
        <v>25</v>
      </c>
      <c r="J109">
        <v>28.5</v>
      </c>
      <c r="K109">
        <v>0.5</v>
      </c>
      <c r="L109">
        <v>28</v>
      </c>
      <c r="M109">
        <v>2</v>
      </c>
      <c r="N109">
        <v>27.7</v>
      </c>
      <c r="O109">
        <v>0.5</v>
      </c>
      <c r="P109">
        <v>27.2</v>
      </c>
      <c r="Q109">
        <v>2</v>
      </c>
      <c r="T109">
        <v>0</v>
      </c>
      <c r="U109">
        <v>1</v>
      </c>
      <c r="X109">
        <v>0</v>
      </c>
      <c r="Y109">
        <v>1</v>
      </c>
      <c r="AB109">
        <v>0</v>
      </c>
      <c r="AC109">
        <v>1</v>
      </c>
      <c r="AD109">
        <v>55.2</v>
      </c>
      <c r="AG109">
        <v>55.2</v>
      </c>
      <c r="AH109" s="5">
        <v>28.1</v>
      </c>
      <c r="AI109">
        <v>55.2</v>
      </c>
      <c r="AJ109">
        <v>2</v>
      </c>
      <c r="AK109" t="s">
        <v>33</v>
      </c>
      <c r="AL109" t="s">
        <v>342</v>
      </c>
    </row>
    <row r="110" spans="1:38" x14ac:dyDescent="0.3">
      <c r="A110" t="s">
        <v>222</v>
      </c>
      <c r="B110">
        <v>115</v>
      </c>
      <c r="C110">
        <v>1</v>
      </c>
      <c r="D110" t="s">
        <v>82</v>
      </c>
      <c r="E110" t="s">
        <v>27</v>
      </c>
      <c r="F110" t="s">
        <v>43</v>
      </c>
      <c r="G110" t="s">
        <v>52</v>
      </c>
      <c r="H110" t="s">
        <v>49</v>
      </c>
      <c r="I110" t="s">
        <v>25</v>
      </c>
      <c r="J110">
        <v>28.2</v>
      </c>
      <c r="K110">
        <v>0.5</v>
      </c>
      <c r="L110">
        <v>27.7</v>
      </c>
      <c r="M110">
        <v>3</v>
      </c>
      <c r="N110">
        <v>27.5</v>
      </c>
      <c r="O110">
        <v>0.5</v>
      </c>
      <c r="P110">
        <v>27</v>
      </c>
      <c r="Q110">
        <v>3</v>
      </c>
      <c r="T110">
        <v>0</v>
      </c>
      <c r="U110">
        <v>1</v>
      </c>
      <c r="X110">
        <v>0</v>
      </c>
      <c r="Y110">
        <v>1</v>
      </c>
      <c r="AB110">
        <v>0</v>
      </c>
      <c r="AC110">
        <v>1</v>
      </c>
      <c r="AD110">
        <v>54.7</v>
      </c>
      <c r="AG110">
        <v>54.7</v>
      </c>
      <c r="AH110" s="5">
        <v>27.85</v>
      </c>
      <c r="AI110">
        <v>54.7</v>
      </c>
      <c r="AJ110">
        <v>3</v>
      </c>
      <c r="AK110" t="s">
        <v>33</v>
      </c>
      <c r="AL110" t="s">
        <v>348</v>
      </c>
    </row>
    <row r="111" spans="1:38" x14ac:dyDescent="0.3">
      <c r="A111" t="s">
        <v>222</v>
      </c>
      <c r="B111">
        <v>109</v>
      </c>
      <c r="C111">
        <v>1</v>
      </c>
      <c r="D111" t="s">
        <v>82</v>
      </c>
      <c r="E111" t="s">
        <v>27</v>
      </c>
      <c r="F111" t="s">
        <v>43</v>
      </c>
      <c r="G111" t="s">
        <v>70</v>
      </c>
      <c r="H111" t="s">
        <v>45</v>
      </c>
      <c r="I111" t="s">
        <v>25</v>
      </c>
      <c r="J111">
        <v>28.2</v>
      </c>
      <c r="K111">
        <v>0.5</v>
      </c>
      <c r="L111">
        <v>27.7</v>
      </c>
      <c r="M111">
        <v>3</v>
      </c>
      <c r="N111">
        <v>27.4</v>
      </c>
      <c r="O111">
        <v>0.5</v>
      </c>
      <c r="P111">
        <v>26.9</v>
      </c>
      <c r="Q111">
        <v>4</v>
      </c>
      <c r="T111">
        <v>0</v>
      </c>
      <c r="U111">
        <v>1</v>
      </c>
      <c r="X111">
        <v>0</v>
      </c>
      <c r="Y111">
        <v>1</v>
      </c>
      <c r="AB111">
        <v>0</v>
      </c>
      <c r="AC111">
        <v>1</v>
      </c>
      <c r="AD111">
        <v>54.599999999999994</v>
      </c>
      <c r="AG111">
        <v>54.599999999999994</v>
      </c>
      <c r="AH111" s="5">
        <v>27.799999999999997</v>
      </c>
      <c r="AI111">
        <v>54.599999999999994</v>
      </c>
      <c r="AJ111">
        <v>4</v>
      </c>
      <c r="AK111" t="s">
        <v>33</v>
      </c>
      <c r="AL111" t="s">
        <v>345</v>
      </c>
    </row>
    <row r="112" spans="1:38" x14ac:dyDescent="0.3">
      <c r="A112" t="s">
        <v>222</v>
      </c>
      <c r="B112">
        <v>105</v>
      </c>
      <c r="C112">
        <v>1</v>
      </c>
      <c r="D112" t="s">
        <v>82</v>
      </c>
      <c r="E112" t="s">
        <v>27</v>
      </c>
      <c r="F112" t="s">
        <v>43</v>
      </c>
      <c r="G112" t="s">
        <v>99</v>
      </c>
      <c r="H112" t="s">
        <v>47</v>
      </c>
      <c r="I112" t="s">
        <v>25</v>
      </c>
      <c r="J112">
        <v>27.9</v>
      </c>
      <c r="K112">
        <v>0.5</v>
      </c>
      <c r="L112">
        <v>27.4</v>
      </c>
      <c r="M112">
        <v>5</v>
      </c>
      <c r="N112">
        <v>26.9</v>
      </c>
      <c r="O112">
        <v>0.5</v>
      </c>
      <c r="P112">
        <v>26.4</v>
      </c>
      <c r="Q112">
        <v>5</v>
      </c>
      <c r="T112">
        <v>0</v>
      </c>
      <c r="U112">
        <v>1</v>
      </c>
      <c r="X112">
        <v>0</v>
      </c>
      <c r="Y112">
        <v>1</v>
      </c>
      <c r="AB112">
        <v>0</v>
      </c>
      <c r="AC112">
        <v>1</v>
      </c>
      <c r="AD112">
        <v>53.8</v>
      </c>
      <c r="AG112">
        <v>53.8</v>
      </c>
      <c r="AH112" s="5">
        <v>27.4</v>
      </c>
      <c r="AI112">
        <v>53.8</v>
      </c>
      <c r="AJ112">
        <v>5</v>
      </c>
      <c r="AK112" t="s">
        <v>33</v>
      </c>
      <c r="AL112" t="s">
        <v>343</v>
      </c>
    </row>
    <row r="113" spans="1:38" x14ac:dyDescent="0.3">
      <c r="A113" t="s">
        <v>222</v>
      </c>
      <c r="B113">
        <v>113</v>
      </c>
      <c r="C113">
        <v>1</v>
      </c>
      <c r="D113" t="s">
        <v>82</v>
      </c>
      <c r="E113" t="s">
        <v>27</v>
      </c>
      <c r="F113" t="s">
        <v>43</v>
      </c>
      <c r="G113" t="s">
        <v>131</v>
      </c>
      <c r="H113" t="s">
        <v>49</v>
      </c>
      <c r="I113" t="s">
        <v>25</v>
      </c>
      <c r="J113">
        <v>28.1</v>
      </c>
      <c r="K113">
        <v>1.5</v>
      </c>
      <c r="L113">
        <v>26.6</v>
      </c>
      <c r="M113">
        <v>6</v>
      </c>
      <c r="N113">
        <v>27.8</v>
      </c>
      <c r="O113">
        <v>1.5</v>
      </c>
      <c r="P113">
        <v>26.3</v>
      </c>
      <c r="Q113">
        <v>6</v>
      </c>
      <c r="T113">
        <v>0</v>
      </c>
      <c r="U113">
        <v>1</v>
      </c>
      <c r="X113">
        <v>0</v>
      </c>
      <c r="Y113">
        <v>1</v>
      </c>
      <c r="AB113">
        <v>0</v>
      </c>
      <c r="AC113">
        <v>1</v>
      </c>
      <c r="AD113">
        <v>52.900000000000006</v>
      </c>
      <c r="AG113">
        <v>52.900000000000006</v>
      </c>
      <c r="AH113" s="5">
        <v>27.950000000000003</v>
      </c>
      <c r="AI113">
        <v>52.900000000000006</v>
      </c>
      <c r="AJ113">
        <v>6</v>
      </c>
      <c r="AK113" t="s">
        <v>33</v>
      </c>
      <c r="AL113" t="s">
        <v>347</v>
      </c>
    </row>
    <row r="114" spans="1:38" x14ac:dyDescent="0.3">
      <c r="A114" t="s">
        <v>222</v>
      </c>
      <c r="B114">
        <v>91</v>
      </c>
      <c r="C114">
        <v>1</v>
      </c>
      <c r="D114" t="s">
        <v>82</v>
      </c>
      <c r="E114" t="s">
        <v>27</v>
      </c>
      <c r="F114" t="s">
        <v>43</v>
      </c>
      <c r="G114" t="s">
        <v>60</v>
      </c>
      <c r="H114" t="s">
        <v>49</v>
      </c>
      <c r="I114" t="s">
        <v>25</v>
      </c>
      <c r="J114">
        <v>26.5</v>
      </c>
      <c r="K114">
        <v>1.5</v>
      </c>
      <c r="L114">
        <v>25</v>
      </c>
      <c r="M114">
        <v>7</v>
      </c>
      <c r="N114">
        <v>26.4</v>
      </c>
      <c r="O114">
        <v>1.5</v>
      </c>
      <c r="P114">
        <v>24.9</v>
      </c>
      <c r="Q114">
        <v>7</v>
      </c>
      <c r="T114">
        <v>0</v>
      </c>
      <c r="U114">
        <v>1</v>
      </c>
      <c r="X114">
        <v>0</v>
      </c>
      <c r="Y114">
        <v>1</v>
      </c>
      <c r="AB114">
        <v>0</v>
      </c>
      <c r="AC114">
        <v>1</v>
      </c>
      <c r="AD114">
        <v>49.9</v>
      </c>
      <c r="AG114">
        <v>49.9</v>
      </c>
      <c r="AH114" s="5">
        <v>26.45</v>
      </c>
      <c r="AI114">
        <v>49.9</v>
      </c>
      <c r="AJ114">
        <v>7</v>
      </c>
      <c r="AK114" t="s">
        <v>33</v>
      </c>
      <c r="AL114" t="s">
        <v>336</v>
      </c>
    </row>
    <row r="115" spans="1:38" x14ac:dyDescent="0.3">
      <c r="A115" t="s">
        <v>222</v>
      </c>
      <c r="B115">
        <v>117</v>
      </c>
      <c r="C115">
        <v>1</v>
      </c>
      <c r="D115" t="s">
        <v>82</v>
      </c>
      <c r="E115" t="s">
        <v>27</v>
      </c>
      <c r="F115" t="s">
        <v>43</v>
      </c>
      <c r="G115" t="s">
        <v>95</v>
      </c>
      <c r="H115" t="s">
        <v>47</v>
      </c>
      <c r="I115" t="s">
        <v>25</v>
      </c>
      <c r="J115">
        <v>23</v>
      </c>
      <c r="K115">
        <v>1.5</v>
      </c>
      <c r="L115">
        <v>21.5</v>
      </c>
      <c r="M115">
        <v>8</v>
      </c>
      <c r="N115">
        <v>25.9</v>
      </c>
      <c r="O115">
        <v>1.5</v>
      </c>
      <c r="P115">
        <v>24.4</v>
      </c>
      <c r="Q115">
        <v>8</v>
      </c>
      <c r="T115">
        <v>0</v>
      </c>
      <c r="U115">
        <v>1</v>
      </c>
      <c r="X115">
        <v>0</v>
      </c>
      <c r="Y115">
        <v>1</v>
      </c>
      <c r="AB115">
        <v>0</v>
      </c>
      <c r="AC115">
        <v>1</v>
      </c>
      <c r="AD115">
        <v>45.9</v>
      </c>
      <c r="AG115">
        <v>45.9</v>
      </c>
      <c r="AH115" s="5">
        <v>24.45</v>
      </c>
      <c r="AI115">
        <v>45.9</v>
      </c>
      <c r="AJ115">
        <v>8</v>
      </c>
      <c r="AK115" t="s">
        <v>33</v>
      </c>
      <c r="AL115" t="s">
        <v>349</v>
      </c>
    </row>
    <row r="116" spans="1:38" x14ac:dyDescent="0.3">
      <c r="A116" t="s">
        <v>222</v>
      </c>
      <c r="B116">
        <v>95</v>
      </c>
      <c r="C116">
        <v>1</v>
      </c>
      <c r="D116" t="s">
        <v>82</v>
      </c>
      <c r="E116" t="s">
        <v>27</v>
      </c>
      <c r="F116" t="s">
        <v>43</v>
      </c>
      <c r="G116" t="s">
        <v>105</v>
      </c>
      <c r="H116" t="s">
        <v>67</v>
      </c>
      <c r="I116" t="s">
        <v>25</v>
      </c>
      <c r="J116">
        <v>21.8</v>
      </c>
      <c r="K116">
        <v>0.5</v>
      </c>
      <c r="L116">
        <v>21.3</v>
      </c>
      <c r="M116">
        <v>9</v>
      </c>
      <c r="N116">
        <v>22</v>
      </c>
      <c r="O116">
        <v>0.5</v>
      </c>
      <c r="P116">
        <v>21.5</v>
      </c>
      <c r="Q116">
        <v>9</v>
      </c>
      <c r="T116">
        <v>0</v>
      </c>
      <c r="U116">
        <v>1</v>
      </c>
      <c r="X116">
        <v>0</v>
      </c>
      <c r="Y116">
        <v>1</v>
      </c>
      <c r="AB116">
        <v>0</v>
      </c>
      <c r="AC116">
        <v>1</v>
      </c>
      <c r="AD116">
        <v>42.8</v>
      </c>
      <c r="AG116">
        <v>42.8</v>
      </c>
      <c r="AH116" s="5">
        <v>21.9</v>
      </c>
      <c r="AI116">
        <v>42.8</v>
      </c>
      <c r="AJ116">
        <v>9</v>
      </c>
      <c r="AK116" t="s">
        <v>33</v>
      </c>
      <c r="AL116" t="s">
        <v>338</v>
      </c>
    </row>
    <row r="117" spans="1:38" x14ac:dyDescent="0.3">
      <c r="A117" t="s">
        <v>222</v>
      </c>
      <c r="B117">
        <v>101</v>
      </c>
      <c r="C117">
        <v>1</v>
      </c>
      <c r="D117" t="s">
        <v>82</v>
      </c>
      <c r="E117" t="s">
        <v>27</v>
      </c>
      <c r="F117" t="s">
        <v>43</v>
      </c>
      <c r="G117" t="s">
        <v>64</v>
      </c>
      <c r="H117" t="s">
        <v>63</v>
      </c>
      <c r="I117" t="s">
        <v>25</v>
      </c>
      <c r="J117">
        <v>21.5</v>
      </c>
      <c r="K117">
        <v>0.5</v>
      </c>
      <c r="L117">
        <v>21</v>
      </c>
      <c r="M117">
        <v>10</v>
      </c>
      <c r="N117">
        <v>21.1</v>
      </c>
      <c r="O117">
        <v>0.5</v>
      </c>
      <c r="P117">
        <v>20.6</v>
      </c>
      <c r="Q117">
        <v>10</v>
      </c>
      <c r="T117">
        <v>0</v>
      </c>
      <c r="U117">
        <v>1</v>
      </c>
      <c r="X117">
        <v>0</v>
      </c>
      <c r="Y117">
        <v>1</v>
      </c>
      <c r="AB117">
        <v>0</v>
      </c>
      <c r="AC117">
        <v>1</v>
      </c>
      <c r="AD117">
        <v>41.6</v>
      </c>
      <c r="AG117">
        <v>41.6</v>
      </c>
      <c r="AH117" s="5">
        <v>21.3</v>
      </c>
      <c r="AI117">
        <v>41.6</v>
      </c>
      <c r="AJ117">
        <v>10</v>
      </c>
      <c r="AK117" t="s">
        <v>33</v>
      </c>
      <c r="AL117" t="s">
        <v>341</v>
      </c>
    </row>
    <row r="118" spans="1:38" x14ac:dyDescent="0.3">
      <c r="A118" t="s">
        <v>222</v>
      </c>
      <c r="B118">
        <v>121</v>
      </c>
      <c r="C118">
        <v>1</v>
      </c>
      <c r="D118" t="s">
        <v>82</v>
      </c>
      <c r="E118" t="s">
        <v>27</v>
      </c>
      <c r="F118" t="s">
        <v>43</v>
      </c>
      <c r="G118" t="s">
        <v>96</v>
      </c>
      <c r="H118" t="s">
        <v>32</v>
      </c>
      <c r="I118" t="s">
        <v>25</v>
      </c>
      <c r="J118">
        <v>23.1</v>
      </c>
      <c r="K118">
        <v>2.5</v>
      </c>
      <c r="L118">
        <v>20.6</v>
      </c>
      <c r="M118">
        <v>11</v>
      </c>
      <c r="N118">
        <v>20.8</v>
      </c>
      <c r="O118">
        <v>2.5</v>
      </c>
      <c r="P118">
        <v>18.3</v>
      </c>
      <c r="Q118">
        <v>12</v>
      </c>
      <c r="T118">
        <v>0</v>
      </c>
      <c r="U118">
        <v>1</v>
      </c>
      <c r="X118">
        <v>0</v>
      </c>
      <c r="Y118">
        <v>1</v>
      </c>
      <c r="AB118">
        <v>0</v>
      </c>
      <c r="AC118">
        <v>1</v>
      </c>
      <c r="AD118">
        <v>38.900000000000006</v>
      </c>
      <c r="AG118">
        <v>38.900000000000006</v>
      </c>
      <c r="AH118" s="5">
        <v>21.950000000000003</v>
      </c>
      <c r="AI118">
        <v>38.900000000000006</v>
      </c>
      <c r="AJ118">
        <v>11</v>
      </c>
      <c r="AK118" t="s">
        <v>33</v>
      </c>
      <c r="AL118" t="s">
        <v>351</v>
      </c>
    </row>
    <row r="119" spans="1:38" x14ac:dyDescent="0.3">
      <c r="A119" t="s">
        <v>222</v>
      </c>
      <c r="B119">
        <v>87</v>
      </c>
      <c r="C119">
        <v>1</v>
      </c>
      <c r="D119" t="s">
        <v>82</v>
      </c>
      <c r="E119" t="s">
        <v>27</v>
      </c>
      <c r="F119" t="s">
        <v>43</v>
      </c>
      <c r="G119" t="s">
        <v>98</v>
      </c>
      <c r="H119" t="s">
        <v>32</v>
      </c>
      <c r="I119" t="s">
        <v>25</v>
      </c>
      <c r="J119">
        <v>21.6</v>
      </c>
      <c r="K119">
        <v>2.5</v>
      </c>
      <c r="L119">
        <v>19.100000000000001</v>
      </c>
      <c r="M119">
        <v>12</v>
      </c>
      <c r="N119">
        <v>21.2</v>
      </c>
      <c r="O119">
        <v>2.5</v>
      </c>
      <c r="P119">
        <v>18.7</v>
      </c>
      <c r="Q119">
        <v>11</v>
      </c>
      <c r="T119">
        <v>0</v>
      </c>
      <c r="U119">
        <v>1</v>
      </c>
      <c r="X119">
        <v>0</v>
      </c>
      <c r="Y119">
        <v>1</v>
      </c>
      <c r="AB119">
        <v>0</v>
      </c>
      <c r="AC119">
        <v>1</v>
      </c>
      <c r="AD119">
        <v>37.799999999999997</v>
      </c>
      <c r="AG119">
        <v>37.799999999999997</v>
      </c>
      <c r="AH119" s="5">
        <v>21.4</v>
      </c>
      <c r="AI119">
        <v>37.799999999999997</v>
      </c>
      <c r="AJ119">
        <v>12</v>
      </c>
      <c r="AK119" t="s">
        <v>33</v>
      </c>
      <c r="AL119" t="s">
        <v>334</v>
      </c>
    </row>
    <row r="120" spans="1:38" x14ac:dyDescent="0.3">
      <c r="A120" t="s">
        <v>222</v>
      </c>
      <c r="B120">
        <v>89</v>
      </c>
      <c r="C120">
        <v>1</v>
      </c>
      <c r="D120" t="s">
        <v>82</v>
      </c>
      <c r="E120" t="s">
        <v>27</v>
      </c>
      <c r="F120" t="s">
        <v>43</v>
      </c>
      <c r="G120" t="s">
        <v>163</v>
      </c>
      <c r="H120" t="s">
        <v>47</v>
      </c>
      <c r="I120" t="s">
        <v>25</v>
      </c>
      <c r="J120">
        <v>18.8</v>
      </c>
      <c r="K120">
        <v>1.5</v>
      </c>
      <c r="L120">
        <v>17.3</v>
      </c>
      <c r="M120">
        <v>13</v>
      </c>
      <c r="N120">
        <v>19.399999999999999</v>
      </c>
      <c r="O120">
        <v>1.5</v>
      </c>
      <c r="P120">
        <v>17.899999999999999</v>
      </c>
      <c r="Q120">
        <v>13</v>
      </c>
      <c r="T120">
        <v>0</v>
      </c>
      <c r="U120">
        <v>1</v>
      </c>
      <c r="X120">
        <v>0</v>
      </c>
      <c r="Y120">
        <v>1</v>
      </c>
      <c r="AB120">
        <v>0</v>
      </c>
      <c r="AC120">
        <v>1</v>
      </c>
      <c r="AD120">
        <v>35.200000000000003</v>
      </c>
      <c r="AG120">
        <v>35.200000000000003</v>
      </c>
      <c r="AH120" s="5">
        <v>19.100000000000001</v>
      </c>
      <c r="AI120">
        <v>35.200000000000003</v>
      </c>
      <c r="AJ120">
        <v>13</v>
      </c>
      <c r="AK120" t="s">
        <v>33</v>
      </c>
      <c r="AL120" t="s">
        <v>335</v>
      </c>
    </row>
    <row r="121" spans="1:38" x14ac:dyDescent="0.3">
      <c r="A121" t="s">
        <v>222</v>
      </c>
      <c r="B121">
        <v>111</v>
      </c>
      <c r="C121">
        <v>1</v>
      </c>
      <c r="D121" t="s">
        <v>82</v>
      </c>
      <c r="E121" t="s">
        <v>27</v>
      </c>
      <c r="F121" t="s">
        <v>43</v>
      </c>
      <c r="G121" t="s">
        <v>87</v>
      </c>
      <c r="H121" t="s">
        <v>32</v>
      </c>
      <c r="I121" t="s">
        <v>25</v>
      </c>
      <c r="J121">
        <v>17.7</v>
      </c>
      <c r="K121">
        <v>1.5</v>
      </c>
      <c r="L121">
        <v>16.2</v>
      </c>
      <c r="M121">
        <v>14</v>
      </c>
      <c r="N121">
        <v>18.7</v>
      </c>
      <c r="O121">
        <v>1.5</v>
      </c>
      <c r="P121">
        <v>17.2</v>
      </c>
      <c r="Q121">
        <v>15</v>
      </c>
      <c r="T121">
        <v>0</v>
      </c>
      <c r="U121">
        <v>1</v>
      </c>
      <c r="X121">
        <v>0</v>
      </c>
      <c r="Y121">
        <v>1</v>
      </c>
      <c r="AB121">
        <v>0</v>
      </c>
      <c r="AC121">
        <v>1</v>
      </c>
      <c r="AD121">
        <v>33.4</v>
      </c>
      <c r="AG121">
        <v>33.4</v>
      </c>
      <c r="AH121" s="5">
        <v>18.2</v>
      </c>
      <c r="AI121">
        <v>33.4</v>
      </c>
      <c r="AJ121">
        <v>14</v>
      </c>
      <c r="AK121" t="s">
        <v>33</v>
      </c>
      <c r="AL121" t="s">
        <v>346</v>
      </c>
    </row>
    <row r="122" spans="1:38" x14ac:dyDescent="0.3">
      <c r="A122" t="s">
        <v>222</v>
      </c>
      <c r="B122">
        <v>99</v>
      </c>
      <c r="C122">
        <v>1</v>
      </c>
      <c r="D122" t="s">
        <v>82</v>
      </c>
      <c r="E122" t="s">
        <v>27</v>
      </c>
      <c r="F122" t="s">
        <v>43</v>
      </c>
      <c r="G122" t="s">
        <v>106</v>
      </c>
      <c r="H122" t="s">
        <v>32</v>
      </c>
      <c r="I122" t="s">
        <v>25</v>
      </c>
      <c r="J122">
        <v>17.100000000000001</v>
      </c>
      <c r="K122">
        <v>2</v>
      </c>
      <c r="L122">
        <v>15.100000000000001</v>
      </c>
      <c r="M122">
        <v>15</v>
      </c>
      <c r="N122">
        <v>19.399999999999999</v>
      </c>
      <c r="O122">
        <v>2</v>
      </c>
      <c r="P122">
        <v>17.399999999999999</v>
      </c>
      <c r="Q122">
        <v>14</v>
      </c>
      <c r="T122">
        <v>0</v>
      </c>
      <c r="U122">
        <v>1</v>
      </c>
      <c r="X122">
        <v>0</v>
      </c>
      <c r="Y122">
        <v>1</v>
      </c>
      <c r="AB122">
        <v>0</v>
      </c>
      <c r="AC122">
        <v>1</v>
      </c>
      <c r="AD122">
        <v>32.5</v>
      </c>
      <c r="AG122">
        <v>32.5</v>
      </c>
      <c r="AH122" s="5">
        <v>18.25</v>
      </c>
      <c r="AI122">
        <v>32.5</v>
      </c>
      <c r="AJ122">
        <v>15</v>
      </c>
      <c r="AK122" t="s">
        <v>33</v>
      </c>
      <c r="AL122" t="s">
        <v>340</v>
      </c>
    </row>
    <row r="123" spans="1:38" x14ac:dyDescent="0.3">
      <c r="A123" t="s">
        <v>222</v>
      </c>
      <c r="B123">
        <v>107</v>
      </c>
      <c r="C123">
        <v>1</v>
      </c>
      <c r="D123" t="s">
        <v>82</v>
      </c>
      <c r="E123" t="s">
        <v>27</v>
      </c>
      <c r="F123" t="s">
        <v>43</v>
      </c>
      <c r="G123" t="s">
        <v>135</v>
      </c>
      <c r="H123" t="s">
        <v>73</v>
      </c>
      <c r="I123" t="s">
        <v>28</v>
      </c>
      <c r="J123">
        <v>17</v>
      </c>
      <c r="K123">
        <v>2</v>
      </c>
      <c r="L123">
        <v>15</v>
      </c>
      <c r="M123">
        <v>16</v>
      </c>
      <c r="N123">
        <v>17.600000000000001</v>
      </c>
      <c r="O123">
        <v>2</v>
      </c>
      <c r="P123">
        <v>15.600000000000001</v>
      </c>
      <c r="Q123">
        <v>16</v>
      </c>
      <c r="T123">
        <v>0</v>
      </c>
      <c r="U123">
        <v>1</v>
      </c>
      <c r="X123">
        <v>0</v>
      </c>
      <c r="Y123">
        <v>1</v>
      </c>
      <c r="AB123">
        <v>0</v>
      </c>
      <c r="AC123">
        <v>1</v>
      </c>
      <c r="AD123">
        <v>30.6</v>
      </c>
      <c r="AG123">
        <v>30.6</v>
      </c>
      <c r="AH123" s="5">
        <v>17.3</v>
      </c>
      <c r="AI123">
        <v>30.6</v>
      </c>
      <c r="AJ123">
        <v>16</v>
      </c>
      <c r="AK123" t="s">
        <v>33</v>
      </c>
      <c r="AL123" t="s">
        <v>344</v>
      </c>
    </row>
    <row r="124" spans="1:38" x14ac:dyDescent="0.3">
      <c r="A124" t="s">
        <v>222</v>
      </c>
      <c r="B124">
        <v>119</v>
      </c>
      <c r="C124">
        <v>1</v>
      </c>
      <c r="D124" t="s">
        <v>82</v>
      </c>
      <c r="E124" t="s">
        <v>27</v>
      </c>
      <c r="F124" t="s">
        <v>43</v>
      </c>
      <c r="G124" t="s">
        <v>89</v>
      </c>
      <c r="H124" t="s">
        <v>24</v>
      </c>
      <c r="I124" t="s">
        <v>25</v>
      </c>
      <c r="J124">
        <v>15.4</v>
      </c>
      <c r="K124">
        <v>3</v>
      </c>
      <c r="L124">
        <v>12.4</v>
      </c>
      <c r="M124">
        <v>17</v>
      </c>
      <c r="N124">
        <v>17.399999999999999</v>
      </c>
      <c r="O124">
        <v>3</v>
      </c>
      <c r="P124">
        <v>14.399999999999999</v>
      </c>
      <c r="Q124">
        <v>17</v>
      </c>
      <c r="T124">
        <v>0</v>
      </c>
      <c r="U124">
        <v>1</v>
      </c>
      <c r="X124">
        <v>0</v>
      </c>
      <c r="Y124">
        <v>1</v>
      </c>
      <c r="AB124">
        <v>0</v>
      </c>
      <c r="AC124">
        <v>1</v>
      </c>
      <c r="AD124">
        <v>26.799999999999997</v>
      </c>
      <c r="AG124">
        <v>26.799999999999997</v>
      </c>
      <c r="AH124" s="5">
        <v>16.399999999999999</v>
      </c>
      <c r="AI124">
        <v>26.799999999999997</v>
      </c>
      <c r="AJ124">
        <v>17</v>
      </c>
      <c r="AK124" t="s">
        <v>33</v>
      </c>
      <c r="AL124" t="s">
        <v>350</v>
      </c>
    </row>
    <row r="125" spans="1:38" x14ac:dyDescent="0.3">
      <c r="A125" t="s">
        <v>222</v>
      </c>
      <c r="B125">
        <v>97</v>
      </c>
      <c r="C125">
        <v>1</v>
      </c>
      <c r="D125" t="s">
        <v>82</v>
      </c>
      <c r="E125" t="s">
        <v>27</v>
      </c>
      <c r="F125" t="s">
        <v>43</v>
      </c>
      <c r="G125" t="s">
        <v>164</v>
      </c>
      <c r="H125" t="s">
        <v>24</v>
      </c>
      <c r="I125" t="s">
        <v>25</v>
      </c>
      <c r="L125">
        <v>0</v>
      </c>
      <c r="M125">
        <v>18</v>
      </c>
      <c r="P125">
        <v>0</v>
      </c>
      <c r="Q125">
        <v>18</v>
      </c>
      <c r="T125">
        <v>0</v>
      </c>
      <c r="U125">
        <v>1</v>
      </c>
      <c r="X125">
        <v>0</v>
      </c>
      <c r="Y125">
        <v>1</v>
      </c>
      <c r="AB125">
        <v>0</v>
      </c>
      <c r="AC125">
        <v>1</v>
      </c>
      <c r="AD125">
        <v>0</v>
      </c>
      <c r="AG125">
        <v>0</v>
      </c>
      <c r="AI125">
        <v>0</v>
      </c>
      <c r="AJ125">
        <v>18</v>
      </c>
      <c r="AK125" t="s">
        <v>33</v>
      </c>
      <c r="AL125" t="s">
        <v>339</v>
      </c>
    </row>
    <row r="126" spans="1:38" x14ac:dyDescent="0.3">
      <c r="A126" t="s">
        <v>223</v>
      </c>
      <c r="B126">
        <v>120</v>
      </c>
      <c r="C126">
        <v>2</v>
      </c>
      <c r="D126" t="s">
        <v>82</v>
      </c>
      <c r="E126" t="s">
        <v>27</v>
      </c>
      <c r="F126" t="s">
        <v>56</v>
      </c>
      <c r="G126" t="s">
        <v>166</v>
      </c>
      <c r="H126" t="s">
        <v>49</v>
      </c>
      <c r="I126" t="s">
        <v>25</v>
      </c>
      <c r="L126">
        <v>0</v>
      </c>
      <c r="M126">
        <v>1</v>
      </c>
      <c r="P126">
        <v>0</v>
      </c>
      <c r="Q126">
        <v>1</v>
      </c>
      <c r="R126">
        <v>35.5</v>
      </c>
      <c r="S126">
        <v>0.5</v>
      </c>
      <c r="T126">
        <v>35</v>
      </c>
      <c r="U126">
        <v>1</v>
      </c>
      <c r="V126">
        <v>27.3</v>
      </c>
      <c r="W126">
        <v>0.5</v>
      </c>
      <c r="X126">
        <v>26.8</v>
      </c>
      <c r="Y126">
        <v>1</v>
      </c>
      <c r="Z126">
        <v>24.7</v>
      </c>
      <c r="AA126">
        <v>0.5</v>
      </c>
      <c r="AB126">
        <v>24.2</v>
      </c>
      <c r="AC126">
        <v>2</v>
      </c>
      <c r="AD126">
        <v>86</v>
      </c>
      <c r="AG126">
        <v>86</v>
      </c>
      <c r="AH126" s="5">
        <v>29.166666666666668</v>
      </c>
      <c r="AI126">
        <v>86</v>
      </c>
      <c r="AJ126">
        <v>1</v>
      </c>
      <c r="AK126" t="s">
        <v>33</v>
      </c>
      <c r="AL126" t="s">
        <v>353</v>
      </c>
    </row>
    <row r="127" spans="1:38" x14ac:dyDescent="0.3">
      <c r="A127" t="s">
        <v>223</v>
      </c>
      <c r="B127">
        <v>128</v>
      </c>
      <c r="C127">
        <v>2</v>
      </c>
      <c r="D127" t="s">
        <v>82</v>
      </c>
      <c r="E127" t="s">
        <v>27</v>
      </c>
      <c r="F127" t="s">
        <v>56</v>
      </c>
      <c r="G127" t="s">
        <v>68</v>
      </c>
      <c r="H127" t="s">
        <v>47</v>
      </c>
      <c r="I127" t="s">
        <v>25</v>
      </c>
      <c r="L127">
        <v>0</v>
      </c>
      <c r="M127">
        <v>1</v>
      </c>
      <c r="P127">
        <v>0</v>
      </c>
      <c r="Q127">
        <v>1</v>
      </c>
      <c r="R127">
        <v>31.4</v>
      </c>
      <c r="S127">
        <v>0</v>
      </c>
      <c r="T127">
        <v>31.4</v>
      </c>
      <c r="U127">
        <v>3</v>
      </c>
      <c r="V127">
        <v>26.7</v>
      </c>
      <c r="W127">
        <v>0</v>
      </c>
      <c r="X127">
        <v>26.7</v>
      </c>
      <c r="Y127">
        <v>2</v>
      </c>
      <c r="Z127">
        <v>24.95</v>
      </c>
      <c r="AA127">
        <v>0</v>
      </c>
      <c r="AB127">
        <v>24.95</v>
      </c>
      <c r="AC127">
        <v>1</v>
      </c>
      <c r="AD127">
        <v>83.05</v>
      </c>
      <c r="AG127">
        <v>83.05</v>
      </c>
      <c r="AH127" s="5">
        <v>27.683333333333334</v>
      </c>
      <c r="AI127">
        <v>83.05</v>
      </c>
      <c r="AJ127">
        <v>2</v>
      </c>
      <c r="AK127" t="s">
        <v>33</v>
      </c>
      <c r="AL127" t="s">
        <v>357</v>
      </c>
    </row>
    <row r="128" spans="1:38" x14ac:dyDescent="0.3">
      <c r="A128" t="s">
        <v>223</v>
      </c>
      <c r="B128">
        <v>124</v>
      </c>
      <c r="C128">
        <v>2</v>
      </c>
      <c r="D128" t="s">
        <v>82</v>
      </c>
      <c r="E128" t="s">
        <v>27</v>
      </c>
      <c r="F128" t="s">
        <v>56</v>
      </c>
      <c r="G128" t="s">
        <v>133</v>
      </c>
      <c r="H128" t="s">
        <v>32</v>
      </c>
      <c r="I128" t="s">
        <v>25</v>
      </c>
      <c r="L128">
        <v>0</v>
      </c>
      <c r="M128">
        <v>1</v>
      </c>
      <c r="P128">
        <v>0</v>
      </c>
      <c r="Q128">
        <v>1</v>
      </c>
      <c r="R128">
        <v>31.4</v>
      </c>
      <c r="S128">
        <v>0</v>
      </c>
      <c r="T128">
        <v>31.4</v>
      </c>
      <c r="U128">
        <v>3</v>
      </c>
      <c r="V128">
        <v>26.7</v>
      </c>
      <c r="W128">
        <v>0</v>
      </c>
      <c r="X128">
        <v>26.7</v>
      </c>
      <c r="Y128">
        <v>2</v>
      </c>
      <c r="Z128">
        <v>23.9</v>
      </c>
      <c r="AA128">
        <v>0</v>
      </c>
      <c r="AB128">
        <v>23.9</v>
      </c>
      <c r="AC128">
        <v>3</v>
      </c>
      <c r="AD128">
        <v>82</v>
      </c>
      <c r="AG128">
        <v>82</v>
      </c>
      <c r="AH128" s="5">
        <v>27.333333333333332</v>
      </c>
      <c r="AI128">
        <v>82</v>
      </c>
      <c r="AJ128">
        <v>3</v>
      </c>
      <c r="AK128" t="s">
        <v>33</v>
      </c>
      <c r="AL128" t="s">
        <v>355</v>
      </c>
    </row>
    <row r="129" spans="1:38" x14ac:dyDescent="0.3">
      <c r="A129" t="s">
        <v>223</v>
      </c>
      <c r="B129">
        <v>126</v>
      </c>
      <c r="C129">
        <v>2</v>
      </c>
      <c r="D129" t="s">
        <v>82</v>
      </c>
      <c r="E129" t="s">
        <v>27</v>
      </c>
      <c r="F129" t="s">
        <v>56</v>
      </c>
      <c r="G129" t="s">
        <v>59</v>
      </c>
      <c r="H129" t="s">
        <v>49</v>
      </c>
      <c r="I129" t="s">
        <v>25</v>
      </c>
      <c r="L129">
        <v>0</v>
      </c>
      <c r="M129">
        <v>1</v>
      </c>
      <c r="P129">
        <v>0</v>
      </c>
      <c r="Q129">
        <v>1</v>
      </c>
      <c r="R129">
        <v>32.5</v>
      </c>
      <c r="S129">
        <v>0.5</v>
      </c>
      <c r="T129">
        <v>32</v>
      </c>
      <c r="U129">
        <v>2</v>
      </c>
      <c r="V129">
        <v>26.4</v>
      </c>
      <c r="W129">
        <v>0.5</v>
      </c>
      <c r="X129">
        <v>25.9</v>
      </c>
      <c r="Y129">
        <v>4</v>
      </c>
      <c r="Z129">
        <v>24.35</v>
      </c>
      <c r="AA129">
        <v>1</v>
      </c>
      <c r="AB129">
        <v>23.35</v>
      </c>
      <c r="AC129">
        <v>4</v>
      </c>
      <c r="AD129">
        <v>81.25</v>
      </c>
      <c r="AG129">
        <v>81.25</v>
      </c>
      <c r="AH129" s="5">
        <v>27.75</v>
      </c>
      <c r="AI129">
        <v>81.25</v>
      </c>
      <c r="AJ129">
        <v>4</v>
      </c>
      <c r="AK129" t="s">
        <v>33</v>
      </c>
      <c r="AL129" t="s">
        <v>356</v>
      </c>
    </row>
    <row r="130" spans="1:38" x14ac:dyDescent="0.3">
      <c r="A130" t="s">
        <v>223</v>
      </c>
      <c r="B130">
        <v>122</v>
      </c>
      <c r="C130">
        <v>2</v>
      </c>
      <c r="D130" t="s">
        <v>82</v>
      </c>
      <c r="E130" t="s">
        <v>27</v>
      </c>
      <c r="F130" t="s">
        <v>56</v>
      </c>
      <c r="G130" t="s">
        <v>167</v>
      </c>
      <c r="H130" t="s">
        <v>67</v>
      </c>
      <c r="I130" t="s">
        <v>25</v>
      </c>
      <c r="L130">
        <v>0</v>
      </c>
      <c r="M130">
        <v>1</v>
      </c>
      <c r="P130">
        <v>0</v>
      </c>
      <c r="Q130">
        <v>1</v>
      </c>
      <c r="R130">
        <v>27.9</v>
      </c>
      <c r="S130">
        <v>2</v>
      </c>
      <c r="T130">
        <v>25.9</v>
      </c>
      <c r="U130">
        <v>5</v>
      </c>
      <c r="V130">
        <v>26.4</v>
      </c>
      <c r="W130">
        <v>2</v>
      </c>
      <c r="X130">
        <v>24.4</v>
      </c>
      <c r="Y130">
        <v>5</v>
      </c>
      <c r="Z130">
        <v>23.2</v>
      </c>
      <c r="AA130">
        <v>2</v>
      </c>
      <c r="AB130">
        <v>21.2</v>
      </c>
      <c r="AC130">
        <v>5</v>
      </c>
      <c r="AD130">
        <v>71.5</v>
      </c>
      <c r="AG130">
        <v>71.5</v>
      </c>
      <c r="AH130" s="5">
        <v>25.833333333333332</v>
      </c>
      <c r="AI130">
        <v>71.5</v>
      </c>
      <c r="AJ130">
        <v>5</v>
      </c>
      <c r="AK130" t="s">
        <v>33</v>
      </c>
      <c r="AL130" t="s">
        <v>354</v>
      </c>
    </row>
    <row r="131" spans="1:38" x14ac:dyDescent="0.3">
      <c r="A131" t="s">
        <v>223</v>
      </c>
      <c r="B131">
        <v>118</v>
      </c>
      <c r="C131">
        <v>2</v>
      </c>
      <c r="D131" t="s">
        <v>82</v>
      </c>
      <c r="E131" t="s">
        <v>27</v>
      </c>
      <c r="F131" t="s">
        <v>56</v>
      </c>
      <c r="G131" t="s">
        <v>165</v>
      </c>
      <c r="H131" t="s">
        <v>32</v>
      </c>
      <c r="I131" t="s">
        <v>25</v>
      </c>
      <c r="L131">
        <v>0</v>
      </c>
      <c r="M131">
        <v>1</v>
      </c>
      <c r="P131">
        <v>0</v>
      </c>
      <c r="Q131">
        <v>1</v>
      </c>
      <c r="R131">
        <v>15.6</v>
      </c>
      <c r="S131">
        <v>4</v>
      </c>
      <c r="T131">
        <v>11.6</v>
      </c>
      <c r="U131">
        <v>6</v>
      </c>
      <c r="V131">
        <v>13.9</v>
      </c>
      <c r="W131">
        <v>4</v>
      </c>
      <c r="X131">
        <v>9.9</v>
      </c>
      <c r="Y131">
        <v>6</v>
      </c>
      <c r="Z131">
        <v>12</v>
      </c>
      <c r="AA131">
        <v>4</v>
      </c>
      <c r="AB131">
        <v>8</v>
      </c>
      <c r="AC131">
        <v>6</v>
      </c>
      <c r="AD131">
        <v>29.5</v>
      </c>
      <c r="AG131">
        <v>29.5</v>
      </c>
      <c r="AH131" s="5">
        <v>13.833333333333334</v>
      </c>
      <c r="AI131">
        <v>29.5</v>
      </c>
      <c r="AJ131">
        <v>6</v>
      </c>
      <c r="AK131" t="s">
        <v>33</v>
      </c>
      <c r="AL131" t="s">
        <v>352</v>
      </c>
    </row>
    <row r="132" spans="1:38" x14ac:dyDescent="0.3">
      <c r="A132" t="s">
        <v>229</v>
      </c>
      <c r="B132">
        <v>138</v>
      </c>
      <c r="C132">
        <v>2</v>
      </c>
      <c r="D132" t="s">
        <v>116</v>
      </c>
      <c r="E132" t="s">
        <v>30</v>
      </c>
      <c r="F132" t="s">
        <v>124</v>
      </c>
      <c r="G132" t="s">
        <v>176</v>
      </c>
      <c r="H132" t="s">
        <v>45</v>
      </c>
      <c r="I132" t="s">
        <v>25</v>
      </c>
      <c r="L132">
        <v>0</v>
      </c>
      <c r="M132">
        <v>1</v>
      </c>
      <c r="N132">
        <v>70.099999999999994</v>
      </c>
      <c r="O132">
        <v>1</v>
      </c>
      <c r="P132">
        <v>69.099999999999994</v>
      </c>
      <c r="Q132">
        <v>1</v>
      </c>
      <c r="R132">
        <v>70.099999999999994</v>
      </c>
      <c r="S132">
        <v>1</v>
      </c>
      <c r="T132">
        <v>69.099999999999994</v>
      </c>
      <c r="U132">
        <v>1</v>
      </c>
      <c r="X132">
        <v>0</v>
      </c>
      <c r="Y132">
        <v>1</v>
      </c>
      <c r="Z132">
        <v>63.2</v>
      </c>
      <c r="AA132">
        <v>1</v>
      </c>
      <c r="AB132">
        <v>62.2</v>
      </c>
      <c r="AC132">
        <v>1</v>
      </c>
      <c r="AD132">
        <v>200.39999999999998</v>
      </c>
      <c r="AG132">
        <v>200.39999999999998</v>
      </c>
      <c r="AH132" s="5">
        <v>67.8</v>
      </c>
      <c r="AI132">
        <v>200.39999999999998</v>
      </c>
      <c r="AJ132">
        <v>1</v>
      </c>
      <c r="AK132" t="s">
        <v>190</v>
      </c>
      <c r="AL132" t="s">
        <v>378</v>
      </c>
    </row>
    <row r="133" spans="1:38" x14ac:dyDescent="0.3">
      <c r="A133" t="s">
        <v>229</v>
      </c>
      <c r="B133">
        <v>136</v>
      </c>
      <c r="C133">
        <v>2</v>
      </c>
      <c r="D133" t="s">
        <v>116</v>
      </c>
      <c r="E133" t="s">
        <v>30</v>
      </c>
      <c r="F133" t="s">
        <v>124</v>
      </c>
      <c r="G133" t="s">
        <v>175</v>
      </c>
      <c r="H133" t="s">
        <v>31</v>
      </c>
      <c r="I133" t="s">
        <v>25</v>
      </c>
      <c r="L133">
        <v>0</v>
      </c>
      <c r="M133">
        <v>1</v>
      </c>
      <c r="N133">
        <v>69.7</v>
      </c>
      <c r="O133">
        <v>1</v>
      </c>
      <c r="P133">
        <v>68.7</v>
      </c>
      <c r="Q133">
        <v>2</v>
      </c>
      <c r="R133">
        <v>69</v>
      </c>
      <c r="S133">
        <v>1</v>
      </c>
      <c r="T133">
        <v>68</v>
      </c>
      <c r="U133">
        <v>2</v>
      </c>
      <c r="X133">
        <v>0</v>
      </c>
      <c r="Y133">
        <v>1</v>
      </c>
      <c r="Z133">
        <v>60.8</v>
      </c>
      <c r="AA133">
        <v>1</v>
      </c>
      <c r="AB133">
        <v>59.8</v>
      </c>
      <c r="AC133">
        <v>3</v>
      </c>
      <c r="AD133">
        <v>196.5</v>
      </c>
      <c r="AG133">
        <v>196.5</v>
      </c>
      <c r="AH133" s="5">
        <v>66.5</v>
      </c>
      <c r="AI133">
        <v>196.5</v>
      </c>
      <c r="AJ133">
        <v>2</v>
      </c>
      <c r="AK133" t="s">
        <v>190</v>
      </c>
      <c r="AL133" t="s">
        <v>377</v>
      </c>
    </row>
    <row r="134" spans="1:38" x14ac:dyDescent="0.3">
      <c r="A134" t="s">
        <v>229</v>
      </c>
      <c r="B134">
        <v>132</v>
      </c>
      <c r="C134">
        <v>2</v>
      </c>
      <c r="D134" t="s">
        <v>116</v>
      </c>
      <c r="E134" t="s">
        <v>30</v>
      </c>
      <c r="F134" t="s">
        <v>124</v>
      </c>
      <c r="G134" t="s">
        <v>173</v>
      </c>
      <c r="H134" t="s">
        <v>63</v>
      </c>
      <c r="I134" t="s">
        <v>25</v>
      </c>
      <c r="L134">
        <v>0</v>
      </c>
      <c r="M134">
        <v>1</v>
      </c>
      <c r="N134">
        <v>65.2</v>
      </c>
      <c r="O134">
        <v>0</v>
      </c>
      <c r="P134">
        <v>65.2</v>
      </c>
      <c r="Q134">
        <v>5</v>
      </c>
      <c r="R134">
        <v>65.2</v>
      </c>
      <c r="S134">
        <v>0</v>
      </c>
      <c r="T134">
        <v>65.2</v>
      </c>
      <c r="U134">
        <v>4</v>
      </c>
      <c r="X134">
        <v>0</v>
      </c>
      <c r="Y134">
        <v>1</v>
      </c>
      <c r="Z134">
        <v>59.9</v>
      </c>
      <c r="AA134">
        <v>0</v>
      </c>
      <c r="AB134">
        <v>59.9</v>
      </c>
      <c r="AC134">
        <v>2</v>
      </c>
      <c r="AD134">
        <v>190.3</v>
      </c>
      <c r="AG134">
        <v>190.3</v>
      </c>
      <c r="AH134" s="5">
        <v>63.433333333333337</v>
      </c>
      <c r="AI134">
        <v>190.3</v>
      </c>
      <c r="AJ134">
        <v>3</v>
      </c>
      <c r="AK134" t="s">
        <v>190</v>
      </c>
      <c r="AL134" t="s">
        <v>375</v>
      </c>
    </row>
    <row r="135" spans="1:38" x14ac:dyDescent="0.3">
      <c r="A135" t="s">
        <v>229</v>
      </c>
      <c r="B135">
        <v>134</v>
      </c>
      <c r="C135">
        <v>2</v>
      </c>
      <c r="D135" t="s">
        <v>116</v>
      </c>
      <c r="E135" t="s">
        <v>30</v>
      </c>
      <c r="F135" t="s">
        <v>124</v>
      </c>
      <c r="G135" t="s">
        <v>174</v>
      </c>
      <c r="H135" t="s">
        <v>31</v>
      </c>
      <c r="I135" t="s">
        <v>25</v>
      </c>
      <c r="L135">
        <v>0</v>
      </c>
      <c r="M135">
        <v>1</v>
      </c>
      <c r="N135">
        <v>67</v>
      </c>
      <c r="O135">
        <v>1.5</v>
      </c>
      <c r="P135">
        <v>65.5</v>
      </c>
      <c r="Q135">
        <v>3</v>
      </c>
      <c r="R135">
        <v>67.2</v>
      </c>
      <c r="S135">
        <v>1.5</v>
      </c>
      <c r="T135">
        <v>65.7</v>
      </c>
      <c r="U135">
        <v>3</v>
      </c>
      <c r="X135">
        <v>0</v>
      </c>
      <c r="Y135">
        <v>1</v>
      </c>
      <c r="Z135">
        <v>58.4</v>
      </c>
      <c r="AA135">
        <v>1.5</v>
      </c>
      <c r="AB135">
        <v>56.9</v>
      </c>
      <c r="AC135">
        <v>4</v>
      </c>
      <c r="AD135">
        <v>188.1</v>
      </c>
      <c r="AG135">
        <v>188.1</v>
      </c>
      <c r="AH135" s="5">
        <v>64.2</v>
      </c>
      <c r="AI135">
        <v>188.1</v>
      </c>
      <c r="AJ135">
        <v>4</v>
      </c>
      <c r="AK135" t="s">
        <v>190</v>
      </c>
      <c r="AL135" t="s">
        <v>376</v>
      </c>
    </row>
    <row r="136" spans="1:38" x14ac:dyDescent="0.3">
      <c r="A136" t="s">
        <v>229</v>
      </c>
      <c r="B136">
        <v>140</v>
      </c>
      <c r="C136">
        <v>2</v>
      </c>
      <c r="D136" t="s">
        <v>116</v>
      </c>
      <c r="E136" t="s">
        <v>30</v>
      </c>
      <c r="F136" t="s">
        <v>124</v>
      </c>
      <c r="G136" t="s">
        <v>177</v>
      </c>
      <c r="H136" t="s">
        <v>63</v>
      </c>
      <c r="I136" t="s">
        <v>25</v>
      </c>
      <c r="L136">
        <v>0</v>
      </c>
      <c r="M136">
        <v>1</v>
      </c>
      <c r="N136">
        <v>66.3</v>
      </c>
      <c r="O136">
        <v>1</v>
      </c>
      <c r="P136">
        <v>65.3</v>
      </c>
      <c r="Q136">
        <v>4</v>
      </c>
      <c r="R136">
        <v>65.599999999999994</v>
      </c>
      <c r="S136">
        <v>1</v>
      </c>
      <c r="T136">
        <v>64.599999999999994</v>
      </c>
      <c r="U136">
        <v>5</v>
      </c>
      <c r="X136">
        <v>0</v>
      </c>
      <c r="Y136">
        <v>1</v>
      </c>
      <c r="Z136">
        <v>57.7</v>
      </c>
      <c r="AA136">
        <v>1</v>
      </c>
      <c r="AB136">
        <v>56.7</v>
      </c>
      <c r="AC136">
        <v>5</v>
      </c>
      <c r="AD136">
        <v>186.59999999999997</v>
      </c>
      <c r="AG136">
        <v>186.59999999999997</v>
      </c>
      <c r="AH136" s="5">
        <v>63.199999999999989</v>
      </c>
      <c r="AI136">
        <v>186.59999999999997</v>
      </c>
      <c r="AJ136">
        <v>5</v>
      </c>
      <c r="AK136" t="s">
        <v>190</v>
      </c>
      <c r="AL136" t="s">
        <v>379</v>
      </c>
    </row>
    <row r="137" spans="1:38" x14ac:dyDescent="0.3">
      <c r="A137" t="s">
        <v>229</v>
      </c>
      <c r="B137">
        <v>142</v>
      </c>
      <c r="C137">
        <v>2</v>
      </c>
      <c r="D137" t="s">
        <v>116</v>
      </c>
      <c r="E137" t="s">
        <v>30</v>
      </c>
      <c r="F137" t="s">
        <v>124</v>
      </c>
      <c r="G137" t="s">
        <v>178</v>
      </c>
      <c r="H137" t="s">
        <v>45</v>
      </c>
      <c r="I137" t="s">
        <v>25</v>
      </c>
      <c r="L137">
        <v>0</v>
      </c>
      <c r="M137">
        <v>1</v>
      </c>
      <c r="N137">
        <v>63.4</v>
      </c>
      <c r="O137">
        <v>1</v>
      </c>
      <c r="P137">
        <v>62.4</v>
      </c>
      <c r="Q137">
        <v>6</v>
      </c>
      <c r="R137">
        <v>64.8</v>
      </c>
      <c r="S137">
        <v>1</v>
      </c>
      <c r="T137">
        <v>63.8</v>
      </c>
      <c r="U137">
        <v>6</v>
      </c>
      <c r="X137">
        <v>0</v>
      </c>
      <c r="Y137">
        <v>1</v>
      </c>
      <c r="Z137">
        <v>57.6</v>
      </c>
      <c r="AA137">
        <v>1</v>
      </c>
      <c r="AB137">
        <v>56.6</v>
      </c>
      <c r="AC137">
        <v>6</v>
      </c>
      <c r="AD137">
        <v>182.79999999999998</v>
      </c>
      <c r="AG137">
        <v>182.79999999999998</v>
      </c>
      <c r="AH137" s="5">
        <v>61.93333333333333</v>
      </c>
      <c r="AI137">
        <v>182.79999999999998</v>
      </c>
      <c r="AJ137">
        <v>6</v>
      </c>
      <c r="AK137" t="s">
        <v>190</v>
      </c>
      <c r="AL137" t="s">
        <v>380</v>
      </c>
    </row>
    <row r="138" spans="1:38" x14ac:dyDescent="0.3">
      <c r="A138" t="s">
        <v>230</v>
      </c>
      <c r="B138">
        <v>149</v>
      </c>
      <c r="C138">
        <v>1</v>
      </c>
      <c r="D138" t="s">
        <v>116</v>
      </c>
      <c r="E138" t="s">
        <v>23</v>
      </c>
      <c r="F138" t="s">
        <v>141</v>
      </c>
      <c r="G138" t="s">
        <v>188</v>
      </c>
      <c r="H138" t="s">
        <v>86</v>
      </c>
      <c r="I138" t="s">
        <v>25</v>
      </c>
      <c r="J138">
        <v>74.7</v>
      </c>
      <c r="K138">
        <v>0.5</v>
      </c>
      <c r="L138">
        <v>74.2</v>
      </c>
      <c r="M138">
        <v>1</v>
      </c>
      <c r="P138">
        <v>0</v>
      </c>
      <c r="Q138">
        <v>1</v>
      </c>
      <c r="T138">
        <v>0</v>
      </c>
      <c r="U138">
        <v>1</v>
      </c>
      <c r="V138">
        <v>75.400000000000006</v>
      </c>
      <c r="W138">
        <v>0.5</v>
      </c>
      <c r="X138">
        <v>74.900000000000006</v>
      </c>
      <c r="Y138">
        <v>1</v>
      </c>
      <c r="AB138">
        <v>0</v>
      </c>
      <c r="AC138">
        <v>1</v>
      </c>
      <c r="AD138">
        <v>149.10000000000002</v>
      </c>
      <c r="AG138">
        <v>149.10000000000002</v>
      </c>
      <c r="AH138" s="5">
        <v>75.050000000000011</v>
      </c>
      <c r="AI138">
        <v>149.10000000000002</v>
      </c>
      <c r="AJ138">
        <v>1</v>
      </c>
      <c r="AK138" t="s">
        <v>190</v>
      </c>
      <c r="AL138" t="s">
        <v>390</v>
      </c>
    </row>
    <row r="139" spans="1:38" x14ac:dyDescent="0.3">
      <c r="A139" t="s">
        <v>230</v>
      </c>
      <c r="B139">
        <v>147</v>
      </c>
      <c r="C139">
        <v>1</v>
      </c>
      <c r="D139" t="s">
        <v>116</v>
      </c>
      <c r="E139" t="s">
        <v>23</v>
      </c>
      <c r="F139" t="s">
        <v>141</v>
      </c>
      <c r="G139" t="s">
        <v>187</v>
      </c>
      <c r="H139" t="s">
        <v>49</v>
      </c>
      <c r="I139" t="s">
        <v>25</v>
      </c>
      <c r="J139">
        <v>74.7</v>
      </c>
      <c r="K139">
        <v>1.5</v>
      </c>
      <c r="L139">
        <v>73.2</v>
      </c>
      <c r="M139">
        <v>2</v>
      </c>
      <c r="P139">
        <v>0</v>
      </c>
      <c r="Q139">
        <v>1</v>
      </c>
      <c r="T139">
        <v>0</v>
      </c>
      <c r="U139">
        <v>1</v>
      </c>
      <c r="V139">
        <v>75.900000000000006</v>
      </c>
      <c r="W139">
        <v>1.5</v>
      </c>
      <c r="X139">
        <v>74.400000000000006</v>
      </c>
      <c r="Y139">
        <v>2</v>
      </c>
      <c r="AB139">
        <v>0</v>
      </c>
      <c r="AC139">
        <v>1</v>
      </c>
      <c r="AD139">
        <v>147.60000000000002</v>
      </c>
      <c r="AG139">
        <v>147.60000000000002</v>
      </c>
      <c r="AH139" s="5">
        <v>75.300000000000011</v>
      </c>
      <c r="AI139">
        <v>147.60000000000002</v>
      </c>
      <c r="AJ139">
        <v>2</v>
      </c>
      <c r="AK139" t="s">
        <v>190</v>
      </c>
      <c r="AL139" t="s">
        <v>389</v>
      </c>
    </row>
    <row r="140" spans="1:38" x14ac:dyDescent="0.3">
      <c r="A140" t="s">
        <v>230</v>
      </c>
      <c r="B140">
        <v>151</v>
      </c>
      <c r="C140">
        <v>1</v>
      </c>
      <c r="D140" t="s">
        <v>116</v>
      </c>
      <c r="E140" t="s">
        <v>23</v>
      </c>
      <c r="F140" t="s">
        <v>141</v>
      </c>
      <c r="G140" t="s">
        <v>189</v>
      </c>
      <c r="H140" t="s">
        <v>63</v>
      </c>
      <c r="I140" t="s">
        <v>25</v>
      </c>
      <c r="J140">
        <v>73</v>
      </c>
      <c r="K140">
        <v>0</v>
      </c>
      <c r="L140">
        <v>73</v>
      </c>
      <c r="M140">
        <v>3</v>
      </c>
      <c r="P140">
        <v>0</v>
      </c>
      <c r="Q140">
        <v>1</v>
      </c>
      <c r="T140">
        <v>0</v>
      </c>
      <c r="U140">
        <v>1</v>
      </c>
      <c r="V140">
        <v>74.3</v>
      </c>
      <c r="W140">
        <v>0</v>
      </c>
      <c r="X140">
        <v>74.3</v>
      </c>
      <c r="Y140">
        <v>3</v>
      </c>
      <c r="AB140">
        <v>0</v>
      </c>
      <c r="AC140">
        <v>1</v>
      </c>
      <c r="AD140">
        <v>147.30000000000001</v>
      </c>
      <c r="AG140">
        <v>147.30000000000001</v>
      </c>
      <c r="AH140" s="5">
        <v>73.650000000000006</v>
      </c>
      <c r="AI140">
        <v>147.30000000000001</v>
      </c>
      <c r="AJ140">
        <v>3</v>
      </c>
      <c r="AK140" t="s">
        <v>190</v>
      </c>
      <c r="AL140" t="s">
        <v>391</v>
      </c>
    </row>
    <row r="141" spans="1:38" x14ac:dyDescent="0.3">
      <c r="A141" t="s">
        <v>230</v>
      </c>
      <c r="B141">
        <v>145</v>
      </c>
      <c r="C141">
        <v>1</v>
      </c>
      <c r="D141" t="s">
        <v>116</v>
      </c>
      <c r="E141" t="s">
        <v>23</v>
      </c>
      <c r="F141" t="s">
        <v>141</v>
      </c>
      <c r="G141" t="s">
        <v>186</v>
      </c>
      <c r="H141" t="s">
        <v>45</v>
      </c>
      <c r="I141" t="s">
        <v>25</v>
      </c>
      <c r="J141">
        <v>72.900000000000006</v>
      </c>
      <c r="K141">
        <v>0</v>
      </c>
      <c r="L141">
        <v>72.900000000000006</v>
      </c>
      <c r="M141">
        <v>4</v>
      </c>
      <c r="P141">
        <v>0</v>
      </c>
      <c r="Q141">
        <v>1</v>
      </c>
      <c r="T141">
        <v>0</v>
      </c>
      <c r="U141">
        <v>1</v>
      </c>
      <c r="V141">
        <v>74.3</v>
      </c>
      <c r="W141">
        <v>0</v>
      </c>
      <c r="X141">
        <v>74.3</v>
      </c>
      <c r="Y141">
        <v>3</v>
      </c>
      <c r="AB141">
        <v>0</v>
      </c>
      <c r="AC141">
        <v>1</v>
      </c>
      <c r="AD141">
        <v>147.19999999999999</v>
      </c>
      <c r="AG141">
        <v>147.19999999999999</v>
      </c>
      <c r="AH141" s="5">
        <v>73.599999999999994</v>
      </c>
      <c r="AI141">
        <v>147.19999999999999</v>
      </c>
      <c r="AJ141">
        <v>4</v>
      </c>
      <c r="AK141" t="s">
        <v>190</v>
      </c>
      <c r="AL141" t="s">
        <v>388</v>
      </c>
    </row>
    <row r="142" spans="1:38" x14ac:dyDescent="0.3">
      <c r="A142" t="s">
        <v>230</v>
      </c>
      <c r="B142">
        <v>133</v>
      </c>
      <c r="C142">
        <v>1</v>
      </c>
      <c r="D142" t="s">
        <v>116</v>
      </c>
      <c r="E142" t="s">
        <v>23</v>
      </c>
      <c r="F142" t="s">
        <v>141</v>
      </c>
      <c r="G142" t="s">
        <v>180</v>
      </c>
      <c r="H142" t="s">
        <v>63</v>
      </c>
      <c r="I142" t="s">
        <v>25</v>
      </c>
      <c r="J142">
        <v>70.5</v>
      </c>
      <c r="K142">
        <v>0.5</v>
      </c>
      <c r="L142">
        <v>70</v>
      </c>
      <c r="M142">
        <v>5</v>
      </c>
      <c r="P142">
        <v>0</v>
      </c>
      <c r="Q142">
        <v>1</v>
      </c>
      <c r="T142">
        <v>0</v>
      </c>
      <c r="U142">
        <v>1</v>
      </c>
      <c r="V142">
        <v>69.2</v>
      </c>
      <c r="W142">
        <v>0.5</v>
      </c>
      <c r="X142">
        <v>68.7</v>
      </c>
      <c r="Y142">
        <v>6</v>
      </c>
      <c r="AB142">
        <v>0</v>
      </c>
      <c r="AC142">
        <v>1</v>
      </c>
      <c r="AD142">
        <v>138.69999999999999</v>
      </c>
      <c r="AG142">
        <v>138.69999999999999</v>
      </c>
      <c r="AH142" s="5">
        <v>69.849999999999994</v>
      </c>
      <c r="AI142">
        <v>138.69999999999999</v>
      </c>
      <c r="AJ142">
        <v>5</v>
      </c>
      <c r="AK142" t="s">
        <v>190</v>
      </c>
      <c r="AL142" t="s">
        <v>382</v>
      </c>
    </row>
    <row r="143" spans="1:38" x14ac:dyDescent="0.3">
      <c r="A143" t="s">
        <v>230</v>
      </c>
      <c r="B143">
        <v>141</v>
      </c>
      <c r="C143">
        <v>1</v>
      </c>
      <c r="D143" t="s">
        <v>116</v>
      </c>
      <c r="E143" t="s">
        <v>23</v>
      </c>
      <c r="F143" t="s">
        <v>141</v>
      </c>
      <c r="G143" t="s">
        <v>184</v>
      </c>
      <c r="H143" t="s">
        <v>32</v>
      </c>
      <c r="I143" t="s">
        <v>25</v>
      </c>
      <c r="J143">
        <v>70</v>
      </c>
      <c r="K143">
        <v>2</v>
      </c>
      <c r="L143">
        <v>68</v>
      </c>
      <c r="M143">
        <v>7</v>
      </c>
      <c r="P143">
        <v>0</v>
      </c>
      <c r="Q143">
        <v>1</v>
      </c>
      <c r="T143">
        <v>0</v>
      </c>
      <c r="U143">
        <v>1</v>
      </c>
      <c r="V143">
        <v>72.3</v>
      </c>
      <c r="W143">
        <v>2.5</v>
      </c>
      <c r="X143">
        <v>69.8</v>
      </c>
      <c r="Y143">
        <v>5</v>
      </c>
      <c r="AB143">
        <v>0</v>
      </c>
      <c r="AC143">
        <v>1</v>
      </c>
      <c r="AD143">
        <v>137.80000000000001</v>
      </c>
      <c r="AG143">
        <v>137.80000000000001</v>
      </c>
      <c r="AH143" s="5">
        <v>71.150000000000006</v>
      </c>
      <c r="AI143">
        <v>137.80000000000001</v>
      </c>
      <c r="AJ143">
        <v>6</v>
      </c>
      <c r="AK143" t="s">
        <v>190</v>
      </c>
      <c r="AL143" t="s">
        <v>386</v>
      </c>
    </row>
    <row r="144" spans="1:38" x14ac:dyDescent="0.3">
      <c r="A144" t="s">
        <v>230</v>
      </c>
      <c r="B144">
        <v>135</v>
      </c>
      <c r="C144">
        <v>1</v>
      </c>
      <c r="D144" t="s">
        <v>116</v>
      </c>
      <c r="E144" t="s">
        <v>23</v>
      </c>
      <c r="F144" t="s">
        <v>141</v>
      </c>
      <c r="G144" t="s">
        <v>181</v>
      </c>
      <c r="H144" t="s">
        <v>86</v>
      </c>
      <c r="I144" t="s">
        <v>25</v>
      </c>
      <c r="J144">
        <v>69.400000000000006</v>
      </c>
      <c r="K144">
        <v>0.5</v>
      </c>
      <c r="L144">
        <v>68.900000000000006</v>
      </c>
      <c r="M144">
        <v>6</v>
      </c>
      <c r="P144">
        <v>0</v>
      </c>
      <c r="Q144">
        <v>1</v>
      </c>
      <c r="T144">
        <v>0</v>
      </c>
      <c r="U144">
        <v>1</v>
      </c>
      <c r="V144">
        <v>68.099999999999994</v>
      </c>
      <c r="W144">
        <v>0.5</v>
      </c>
      <c r="X144">
        <v>67.599999999999994</v>
      </c>
      <c r="Y144">
        <v>8</v>
      </c>
      <c r="AB144">
        <v>0</v>
      </c>
      <c r="AC144">
        <v>1</v>
      </c>
      <c r="AD144">
        <v>136.5</v>
      </c>
      <c r="AG144">
        <v>136.5</v>
      </c>
      <c r="AH144" s="5">
        <v>68.75</v>
      </c>
      <c r="AI144">
        <v>136.5</v>
      </c>
      <c r="AJ144">
        <v>7</v>
      </c>
      <c r="AK144" t="s">
        <v>190</v>
      </c>
      <c r="AL144" t="s">
        <v>383</v>
      </c>
    </row>
    <row r="145" spans="1:38" x14ac:dyDescent="0.3">
      <c r="A145" t="s">
        <v>230</v>
      </c>
      <c r="B145">
        <v>139</v>
      </c>
      <c r="C145">
        <v>1</v>
      </c>
      <c r="D145" t="s">
        <v>116</v>
      </c>
      <c r="E145" t="s">
        <v>23</v>
      </c>
      <c r="F145" t="s">
        <v>141</v>
      </c>
      <c r="G145" t="s">
        <v>183</v>
      </c>
      <c r="H145" t="s">
        <v>31</v>
      </c>
      <c r="I145" t="s">
        <v>25</v>
      </c>
      <c r="J145">
        <v>69.099999999999994</v>
      </c>
      <c r="K145">
        <v>1.5</v>
      </c>
      <c r="L145">
        <v>67.599999999999994</v>
      </c>
      <c r="M145">
        <v>8</v>
      </c>
      <c r="P145">
        <v>0</v>
      </c>
      <c r="Q145">
        <v>1</v>
      </c>
      <c r="T145">
        <v>0</v>
      </c>
      <c r="U145">
        <v>1</v>
      </c>
      <c r="V145">
        <v>69.900000000000006</v>
      </c>
      <c r="W145">
        <v>1.5</v>
      </c>
      <c r="X145">
        <v>68.400000000000006</v>
      </c>
      <c r="Y145">
        <v>7</v>
      </c>
      <c r="AB145">
        <v>0</v>
      </c>
      <c r="AC145">
        <v>1</v>
      </c>
      <c r="AD145">
        <v>136</v>
      </c>
      <c r="AG145">
        <v>136</v>
      </c>
      <c r="AH145" s="5">
        <v>69.5</v>
      </c>
      <c r="AI145">
        <v>136</v>
      </c>
      <c r="AJ145">
        <v>8</v>
      </c>
      <c r="AK145" t="s">
        <v>190</v>
      </c>
      <c r="AL145" t="s">
        <v>385</v>
      </c>
    </row>
    <row r="146" spans="1:38" x14ac:dyDescent="0.3">
      <c r="A146" t="s">
        <v>230</v>
      </c>
      <c r="B146">
        <v>143</v>
      </c>
      <c r="C146">
        <v>1</v>
      </c>
      <c r="D146" t="s">
        <v>116</v>
      </c>
      <c r="E146" t="s">
        <v>23</v>
      </c>
      <c r="F146" t="s">
        <v>141</v>
      </c>
      <c r="G146" t="s">
        <v>185</v>
      </c>
      <c r="H146" t="s">
        <v>31</v>
      </c>
      <c r="I146" t="s">
        <v>25</v>
      </c>
      <c r="J146">
        <v>68.900000000000006</v>
      </c>
      <c r="K146">
        <v>2</v>
      </c>
      <c r="L146">
        <v>66.900000000000006</v>
      </c>
      <c r="M146">
        <v>9</v>
      </c>
      <c r="P146">
        <v>0</v>
      </c>
      <c r="Q146">
        <v>1</v>
      </c>
      <c r="T146">
        <v>0</v>
      </c>
      <c r="U146">
        <v>1</v>
      </c>
      <c r="V146">
        <v>69.3</v>
      </c>
      <c r="W146">
        <v>2</v>
      </c>
      <c r="X146">
        <v>67.3</v>
      </c>
      <c r="Y146">
        <v>9</v>
      </c>
      <c r="AB146">
        <v>0</v>
      </c>
      <c r="AC146">
        <v>1</v>
      </c>
      <c r="AD146">
        <v>134.19999999999999</v>
      </c>
      <c r="AG146">
        <v>134.19999999999999</v>
      </c>
      <c r="AH146" s="5">
        <v>69.099999999999994</v>
      </c>
      <c r="AI146">
        <v>134.19999999999999</v>
      </c>
      <c r="AJ146">
        <v>9</v>
      </c>
      <c r="AK146" t="s">
        <v>190</v>
      </c>
      <c r="AL146" t="s">
        <v>387</v>
      </c>
    </row>
    <row r="147" spans="1:38" x14ac:dyDescent="0.3">
      <c r="A147" t="s">
        <v>230</v>
      </c>
      <c r="B147">
        <v>137</v>
      </c>
      <c r="C147">
        <v>1</v>
      </c>
      <c r="D147" t="s">
        <v>116</v>
      </c>
      <c r="E147" t="s">
        <v>23</v>
      </c>
      <c r="F147" t="s">
        <v>141</v>
      </c>
      <c r="G147" t="s">
        <v>182</v>
      </c>
      <c r="H147" t="s">
        <v>63</v>
      </c>
      <c r="I147" t="s">
        <v>25</v>
      </c>
      <c r="J147">
        <v>67.900000000000006</v>
      </c>
      <c r="K147">
        <v>1</v>
      </c>
      <c r="L147">
        <v>66.900000000000006</v>
      </c>
      <c r="M147">
        <v>9</v>
      </c>
      <c r="P147">
        <v>0</v>
      </c>
      <c r="Q147">
        <v>1</v>
      </c>
      <c r="T147">
        <v>0</v>
      </c>
      <c r="U147">
        <v>1</v>
      </c>
      <c r="V147">
        <v>66.2</v>
      </c>
      <c r="W147">
        <v>1</v>
      </c>
      <c r="X147">
        <v>65.2</v>
      </c>
      <c r="Y147">
        <v>10</v>
      </c>
      <c r="AB147">
        <v>0</v>
      </c>
      <c r="AC147">
        <v>1</v>
      </c>
      <c r="AD147">
        <v>132.10000000000002</v>
      </c>
      <c r="AG147">
        <v>132.10000000000002</v>
      </c>
      <c r="AH147" s="5">
        <v>67.050000000000011</v>
      </c>
      <c r="AI147">
        <v>132.10000000000002</v>
      </c>
      <c r="AJ147">
        <v>10</v>
      </c>
      <c r="AK147" t="s">
        <v>190</v>
      </c>
      <c r="AL147" t="s">
        <v>384</v>
      </c>
    </row>
    <row r="148" spans="1:38" x14ac:dyDescent="0.3">
      <c r="A148" t="s">
        <v>230</v>
      </c>
      <c r="B148">
        <v>131</v>
      </c>
      <c r="C148">
        <v>1</v>
      </c>
      <c r="D148" t="s">
        <v>116</v>
      </c>
      <c r="E148" t="s">
        <v>23</v>
      </c>
      <c r="F148" t="s">
        <v>141</v>
      </c>
      <c r="G148" t="s">
        <v>179</v>
      </c>
      <c r="H148" t="s">
        <v>45</v>
      </c>
      <c r="I148" t="s">
        <v>25</v>
      </c>
      <c r="J148">
        <v>65.3</v>
      </c>
      <c r="K148">
        <v>1.5</v>
      </c>
      <c r="L148">
        <v>63.8</v>
      </c>
      <c r="M148">
        <v>11</v>
      </c>
      <c r="P148">
        <v>0</v>
      </c>
      <c r="Q148">
        <v>1</v>
      </c>
      <c r="T148">
        <v>0</v>
      </c>
      <c r="U148">
        <v>1</v>
      </c>
      <c r="V148">
        <v>65.3</v>
      </c>
      <c r="W148">
        <v>1</v>
      </c>
      <c r="X148">
        <v>64.3</v>
      </c>
      <c r="Y148">
        <v>11</v>
      </c>
      <c r="AB148">
        <v>0</v>
      </c>
      <c r="AC148">
        <v>1</v>
      </c>
      <c r="AD148">
        <v>128.1</v>
      </c>
      <c r="AG148">
        <v>128.1</v>
      </c>
      <c r="AH148" s="5">
        <v>65.3</v>
      </c>
      <c r="AI148">
        <v>128.1</v>
      </c>
      <c r="AJ148">
        <v>11</v>
      </c>
      <c r="AK148" t="s">
        <v>190</v>
      </c>
      <c r="AL148" t="s">
        <v>381</v>
      </c>
    </row>
    <row r="149" spans="1:38" x14ac:dyDescent="0.3">
      <c r="A149" t="s">
        <v>231</v>
      </c>
      <c r="B149">
        <v>150</v>
      </c>
      <c r="C149">
        <v>2</v>
      </c>
      <c r="D149" t="s">
        <v>116</v>
      </c>
      <c r="E149" t="s">
        <v>27</v>
      </c>
      <c r="F149" t="s">
        <v>141</v>
      </c>
      <c r="G149" t="s">
        <v>194</v>
      </c>
      <c r="H149" t="s">
        <v>49</v>
      </c>
      <c r="I149" t="s">
        <v>25</v>
      </c>
      <c r="L149">
        <v>0</v>
      </c>
      <c r="M149">
        <v>1</v>
      </c>
      <c r="N149">
        <v>87.1</v>
      </c>
      <c r="O149">
        <v>0.5</v>
      </c>
      <c r="P149">
        <v>86.6</v>
      </c>
      <c r="Q149">
        <v>1</v>
      </c>
      <c r="R149">
        <v>83.2</v>
      </c>
      <c r="S149">
        <v>0.5</v>
      </c>
      <c r="T149">
        <v>82.7</v>
      </c>
      <c r="U149">
        <v>1</v>
      </c>
      <c r="X149">
        <v>0</v>
      </c>
      <c r="Y149">
        <v>1</v>
      </c>
      <c r="Z149">
        <v>74.599999999999994</v>
      </c>
      <c r="AA149">
        <v>0.5</v>
      </c>
      <c r="AB149">
        <v>74.099999999999994</v>
      </c>
      <c r="AC149">
        <v>1</v>
      </c>
      <c r="AD149">
        <v>243.4</v>
      </c>
      <c r="AG149">
        <v>243.4</v>
      </c>
      <c r="AH149" s="5">
        <v>81.63333333333334</v>
      </c>
      <c r="AI149">
        <v>243.4</v>
      </c>
      <c r="AJ149">
        <v>1</v>
      </c>
      <c r="AK149" t="s">
        <v>190</v>
      </c>
      <c r="AL149" t="s">
        <v>395</v>
      </c>
    </row>
    <row r="150" spans="1:38" x14ac:dyDescent="0.3">
      <c r="A150" t="s">
        <v>231</v>
      </c>
      <c r="B150">
        <v>152</v>
      </c>
      <c r="C150">
        <v>2</v>
      </c>
      <c r="D150" t="s">
        <v>116</v>
      </c>
      <c r="E150" t="s">
        <v>27</v>
      </c>
      <c r="F150" t="s">
        <v>141</v>
      </c>
      <c r="G150" t="s">
        <v>195</v>
      </c>
      <c r="H150" t="s">
        <v>47</v>
      </c>
      <c r="I150" t="s">
        <v>25</v>
      </c>
      <c r="L150">
        <v>0</v>
      </c>
      <c r="M150">
        <v>1</v>
      </c>
      <c r="N150">
        <v>73.3</v>
      </c>
      <c r="O150">
        <v>1</v>
      </c>
      <c r="P150">
        <v>72.3</v>
      </c>
      <c r="Q150">
        <v>2</v>
      </c>
      <c r="R150">
        <v>69.900000000000006</v>
      </c>
      <c r="S150">
        <v>1</v>
      </c>
      <c r="T150">
        <v>68.900000000000006</v>
      </c>
      <c r="U150">
        <v>2</v>
      </c>
      <c r="X150">
        <v>0</v>
      </c>
      <c r="Y150">
        <v>1</v>
      </c>
      <c r="Z150">
        <v>73.099999999999994</v>
      </c>
      <c r="AA150">
        <v>1</v>
      </c>
      <c r="AB150">
        <v>72.099999999999994</v>
      </c>
      <c r="AC150">
        <v>2</v>
      </c>
      <c r="AD150">
        <v>213.29999999999998</v>
      </c>
      <c r="AG150">
        <v>213.29999999999998</v>
      </c>
      <c r="AH150" s="5">
        <v>72.099999999999994</v>
      </c>
      <c r="AI150">
        <v>213.29999999999998</v>
      </c>
      <c r="AJ150">
        <v>2</v>
      </c>
      <c r="AK150" t="s">
        <v>190</v>
      </c>
      <c r="AL150" t="s">
        <v>396</v>
      </c>
    </row>
    <row r="151" spans="1:38" x14ac:dyDescent="0.3">
      <c r="A151" t="s">
        <v>231</v>
      </c>
      <c r="B151">
        <v>154</v>
      </c>
      <c r="C151">
        <v>2</v>
      </c>
      <c r="D151" t="s">
        <v>116</v>
      </c>
      <c r="E151" t="s">
        <v>27</v>
      </c>
      <c r="F151" t="s">
        <v>141</v>
      </c>
      <c r="G151" t="s">
        <v>196</v>
      </c>
      <c r="H151" t="s">
        <v>45</v>
      </c>
      <c r="I151" t="s">
        <v>25</v>
      </c>
      <c r="L151">
        <v>0</v>
      </c>
      <c r="M151">
        <v>1</v>
      </c>
      <c r="N151">
        <v>72</v>
      </c>
      <c r="O151">
        <v>1</v>
      </c>
      <c r="P151">
        <v>71</v>
      </c>
      <c r="Q151">
        <v>3</v>
      </c>
      <c r="R151">
        <v>69.8</v>
      </c>
      <c r="S151">
        <v>1</v>
      </c>
      <c r="T151">
        <v>68.8</v>
      </c>
      <c r="U151">
        <v>3</v>
      </c>
      <c r="X151">
        <v>0</v>
      </c>
      <c r="Y151">
        <v>1</v>
      </c>
      <c r="Z151">
        <v>72.400000000000006</v>
      </c>
      <c r="AA151">
        <v>1</v>
      </c>
      <c r="AB151">
        <v>71.400000000000006</v>
      </c>
      <c r="AC151">
        <v>3</v>
      </c>
      <c r="AD151">
        <v>211.20000000000002</v>
      </c>
      <c r="AG151">
        <v>211.20000000000002</v>
      </c>
      <c r="AH151" s="5">
        <v>71.400000000000006</v>
      </c>
      <c r="AI151">
        <v>211.20000000000002</v>
      </c>
      <c r="AJ151">
        <v>3</v>
      </c>
      <c r="AK151" t="s">
        <v>190</v>
      </c>
      <c r="AL151" t="s">
        <v>397</v>
      </c>
    </row>
    <row r="152" spans="1:38" x14ac:dyDescent="0.3">
      <c r="A152" t="s">
        <v>231</v>
      </c>
      <c r="B152">
        <v>146</v>
      </c>
      <c r="C152">
        <v>2</v>
      </c>
      <c r="D152" t="s">
        <v>116</v>
      </c>
      <c r="E152" t="s">
        <v>27</v>
      </c>
      <c r="F152" t="s">
        <v>141</v>
      </c>
      <c r="G152" t="s">
        <v>192</v>
      </c>
      <c r="H152" t="s">
        <v>32</v>
      </c>
      <c r="I152" t="s">
        <v>25</v>
      </c>
      <c r="L152">
        <v>0</v>
      </c>
      <c r="M152">
        <v>1</v>
      </c>
      <c r="N152">
        <v>70.3</v>
      </c>
      <c r="O152">
        <v>4</v>
      </c>
      <c r="P152">
        <v>66.3</v>
      </c>
      <c r="Q152">
        <v>4</v>
      </c>
      <c r="R152">
        <v>71.599999999999994</v>
      </c>
      <c r="S152">
        <v>4</v>
      </c>
      <c r="T152">
        <v>67.599999999999994</v>
      </c>
      <c r="U152">
        <v>4</v>
      </c>
      <c r="X152">
        <v>0</v>
      </c>
      <c r="Y152">
        <v>1</v>
      </c>
      <c r="Z152">
        <v>68.3</v>
      </c>
      <c r="AA152">
        <v>4</v>
      </c>
      <c r="AB152">
        <v>64.3</v>
      </c>
      <c r="AC152">
        <v>5</v>
      </c>
      <c r="AD152">
        <v>198.2</v>
      </c>
      <c r="AG152">
        <v>198.2</v>
      </c>
      <c r="AH152" s="5">
        <v>70.066666666666663</v>
      </c>
      <c r="AI152">
        <v>198.2</v>
      </c>
      <c r="AJ152">
        <v>4</v>
      </c>
      <c r="AK152" t="s">
        <v>190</v>
      </c>
      <c r="AL152" t="s">
        <v>393</v>
      </c>
    </row>
    <row r="153" spans="1:38" x14ac:dyDescent="0.3">
      <c r="A153" t="s">
        <v>231</v>
      </c>
      <c r="B153">
        <v>148</v>
      </c>
      <c r="C153">
        <v>2</v>
      </c>
      <c r="D153" t="s">
        <v>116</v>
      </c>
      <c r="E153" t="s">
        <v>27</v>
      </c>
      <c r="F153" t="s">
        <v>141</v>
      </c>
      <c r="G153" t="s">
        <v>193</v>
      </c>
      <c r="H153" t="s">
        <v>73</v>
      </c>
      <c r="I153" t="s">
        <v>28</v>
      </c>
      <c r="L153">
        <v>0</v>
      </c>
      <c r="M153">
        <v>1</v>
      </c>
      <c r="N153">
        <v>65.3</v>
      </c>
      <c r="O153">
        <v>0.5</v>
      </c>
      <c r="P153">
        <v>64.8</v>
      </c>
      <c r="Q153">
        <v>5</v>
      </c>
      <c r="R153">
        <v>66.099999999999994</v>
      </c>
      <c r="S153">
        <v>0.5</v>
      </c>
      <c r="T153">
        <v>65.599999999999994</v>
      </c>
      <c r="U153">
        <v>5</v>
      </c>
      <c r="X153">
        <v>0</v>
      </c>
      <c r="Y153">
        <v>1</v>
      </c>
      <c r="Z153">
        <v>66.5</v>
      </c>
      <c r="AA153">
        <v>0.5</v>
      </c>
      <c r="AB153">
        <v>66</v>
      </c>
      <c r="AC153">
        <v>4</v>
      </c>
      <c r="AD153">
        <v>196.39999999999998</v>
      </c>
      <c r="AG153">
        <v>196.39999999999998</v>
      </c>
      <c r="AH153" s="5">
        <v>65.966666666666654</v>
      </c>
      <c r="AI153">
        <v>196.39999999999998</v>
      </c>
      <c r="AJ153">
        <v>5</v>
      </c>
      <c r="AK153" t="s">
        <v>190</v>
      </c>
      <c r="AL153" t="s">
        <v>394</v>
      </c>
    </row>
    <row r="154" spans="1:38" x14ac:dyDescent="0.3">
      <c r="A154" t="s">
        <v>231</v>
      </c>
      <c r="B154">
        <v>144</v>
      </c>
      <c r="C154">
        <v>2</v>
      </c>
      <c r="D154" t="s">
        <v>116</v>
      </c>
      <c r="E154" t="s">
        <v>27</v>
      </c>
      <c r="F154" t="s">
        <v>141</v>
      </c>
      <c r="G154" t="s">
        <v>191</v>
      </c>
      <c r="H154" t="s">
        <v>32</v>
      </c>
      <c r="I154" t="s">
        <v>25</v>
      </c>
      <c r="L154">
        <v>0</v>
      </c>
      <c r="M154">
        <v>1</v>
      </c>
      <c r="N154">
        <v>65.099999999999994</v>
      </c>
      <c r="O154">
        <v>3.5</v>
      </c>
      <c r="P154">
        <v>61.599999999999994</v>
      </c>
      <c r="Q154">
        <v>6</v>
      </c>
      <c r="R154">
        <v>65.099999999999994</v>
      </c>
      <c r="S154">
        <v>3.5</v>
      </c>
      <c r="T154">
        <v>61.599999999999994</v>
      </c>
      <c r="U154">
        <v>6</v>
      </c>
      <c r="X154">
        <v>0</v>
      </c>
      <c r="Y154">
        <v>1</v>
      </c>
      <c r="Z154">
        <v>62.6</v>
      </c>
      <c r="AA154">
        <v>3.5</v>
      </c>
      <c r="AB154">
        <v>59.1</v>
      </c>
      <c r="AC154">
        <v>6</v>
      </c>
      <c r="AD154">
        <v>182.29999999999998</v>
      </c>
      <c r="AG154">
        <v>182.29999999999998</v>
      </c>
      <c r="AH154" s="5">
        <v>64.266666666666666</v>
      </c>
      <c r="AI154">
        <v>182.29999999999998</v>
      </c>
      <c r="AJ154">
        <v>6</v>
      </c>
      <c r="AK154" t="s">
        <v>190</v>
      </c>
      <c r="AL154" t="s">
        <v>392</v>
      </c>
    </row>
    <row r="155" spans="1:38" x14ac:dyDescent="0.3">
      <c r="A155" t="s">
        <v>232</v>
      </c>
      <c r="B155">
        <v>155</v>
      </c>
      <c r="C155">
        <v>1</v>
      </c>
      <c r="D155" t="s">
        <v>116</v>
      </c>
      <c r="E155" t="s">
        <v>27</v>
      </c>
      <c r="F155" t="s">
        <v>142</v>
      </c>
      <c r="G155" t="s">
        <v>199</v>
      </c>
      <c r="H155" t="s">
        <v>32</v>
      </c>
      <c r="I155" t="s">
        <v>25</v>
      </c>
      <c r="J155">
        <v>86.1</v>
      </c>
      <c r="K155">
        <v>1</v>
      </c>
      <c r="L155">
        <v>85.1</v>
      </c>
      <c r="M155">
        <v>1</v>
      </c>
      <c r="P155">
        <v>0</v>
      </c>
      <c r="Q155">
        <v>1</v>
      </c>
      <c r="T155">
        <v>0</v>
      </c>
      <c r="U155">
        <v>1</v>
      </c>
      <c r="V155">
        <v>85.3</v>
      </c>
      <c r="W155">
        <v>1</v>
      </c>
      <c r="X155">
        <v>84.3</v>
      </c>
      <c r="Y155">
        <v>1</v>
      </c>
      <c r="AB155">
        <v>0</v>
      </c>
      <c r="AC155">
        <v>1</v>
      </c>
      <c r="AD155">
        <v>169.39999999999998</v>
      </c>
      <c r="AG155">
        <v>169.39999999999998</v>
      </c>
      <c r="AH155" s="5">
        <v>85.699999999999989</v>
      </c>
      <c r="AI155">
        <v>169.39999999999998</v>
      </c>
      <c r="AJ155">
        <v>1</v>
      </c>
      <c r="AK155" t="s">
        <v>190</v>
      </c>
      <c r="AL155" t="s">
        <v>399</v>
      </c>
    </row>
    <row r="156" spans="1:38" x14ac:dyDescent="0.3">
      <c r="A156" t="s">
        <v>232</v>
      </c>
      <c r="B156">
        <v>157</v>
      </c>
      <c r="C156">
        <v>1</v>
      </c>
      <c r="D156" t="s">
        <v>116</v>
      </c>
      <c r="E156" t="s">
        <v>27</v>
      </c>
      <c r="F156" t="s">
        <v>142</v>
      </c>
      <c r="G156" t="s">
        <v>200</v>
      </c>
      <c r="H156" t="s">
        <v>198</v>
      </c>
      <c r="I156" t="s">
        <v>28</v>
      </c>
      <c r="J156">
        <v>85.2</v>
      </c>
      <c r="K156">
        <v>1.5</v>
      </c>
      <c r="L156">
        <v>83.7</v>
      </c>
      <c r="M156">
        <v>2</v>
      </c>
      <c r="P156">
        <v>0</v>
      </c>
      <c r="Q156">
        <v>1</v>
      </c>
      <c r="T156">
        <v>0</v>
      </c>
      <c r="U156">
        <v>1</v>
      </c>
      <c r="V156">
        <v>85.4</v>
      </c>
      <c r="W156">
        <v>1.5</v>
      </c>
      <c r="X156">
        <v>83.9</v>
      </c>
      <c r="Y156">
        <v>2</v>
      </c>
      <c r="AB156">
        <v>0</v>
      </c>
      <c r="AC156">
        <v>1</v>
      </c>
      <c r="AD156">
        <v>167.60000000000002</v>
      </c>
      <c r="AG156">
        <v>167.60000000000002</v>
      </c>
      <c r="AH156" s="5">
        <v>85.300000000000011</v>
      </c>
      <c r="AI156">
        <v>167.60000000000002</v>
      </c>
      <c r="AJ156">
        <v>2</v>
      </c>
      <c r="AK156" t="s">
        <v>190</v>
      </c>
      <c r="AL156" t="s">
        <v>400</v>
      </c>
    </row>
    <row r="157" spans="1:38" x14ac:dyDescent="0.3">
      <c r="A157" t="s">
        <v>232</v>
      </c>
      <c r="B157">
        <v>159</v>
      </c>
      <c r="C157">
        <v>1</v>
      </c>
      <c r="D157" t="s">
        <v>116</v>
      </c>
      <c r="E157" t="s">
        <v>27</v>
      </c>
      <c r="F157" t="s">
        <v>142</v>
      </c>
      <c r="G157" t="s">
        <v>201</v>
      </c>
      <c r="H157" t="s">
        <v>67</v>
      </c>
      <c r="I157" t="s">
        <v>25</v>
      </c>
      <c r="J157">
        <v>85.3</v>
      </c>
      <c r="K157">
        <v>2</v>
      </c>
      <c r="L157">
        <v>83.3</v>
      </c>
      <c r="M157">
        <v>3</v>
      </c>
      <c r="P157">
        <v>0</v>
      </c>
      <c r="Q157">
        <v>1</v>
      </c>
      <c r="T157">
        <v>0</v>
      </c>
      <c r="U157">
        <v>1</v>
      </c>
      <c r="V157">
        <v>85.1</v>
      </c>
      <c r="W157">
        <v>2</v>
      </c>
      <c r="X157">
        <v>83.1</v>
      </c>
      <c r="Y157">
        <v>3</v>
      </c>
      <c r="AB157">
        <v>0</v>
      </c>
      <c r="AC157">
        <v>1</v>
      </c>
      <c r="AD157">
        <v>166.39999999999998</v>
      </c>
      <c r="AG157">
        <v>166.39999999999998</v>
      </c>
      <c r="AH157" s="5">
        <v>85.199999999999989</v>
      </c>
      <c r="AI157">
        <v>166.39999999999998</v>
      </c>
      <c r="AJ157">
        <v>3</v>
      </c>
      <c r="AK157" t="s">
        <v>190</v>
      </c>
      <c r="AL157" t="s">
        <v>401</v>
      </c>
    </row>
    <row r="158" spans="1:38" x14ac:dyDescent="0.3">
      <c r="A158" t="s">
        <v>232</v>
      </c>
      <c r="B158">
        <v>153</v>
      </c>
      <c r="C158">
        <v>1</v>
      </c>
      <c r="D158" t="s">
        <v>116</v>
      </c>
      <c r="E158" t="s">
        <v>27</v>
      </c>
      <c r="F158" t="s">
        <v>142</v>
      </c>
      <c r="G158" t="s">
        <v>197</v>
      </c>
      <c r="H158" t="s">
        <v>198</v>
      </c>
      <c r="I158" t="s">
        <v>28</v>
      </c>
      <c r="J158">
        <v>81.2</v>
      </c>
      <c r="K158">
        <v>4</v>
      </c>
      <c r="L158">
        <v>77.2</v>
      </c>
      <c r="M158">
        <v>4</v>
      </c>
      <c r="P158">
        <v>0</v>
      </c>
      <c r="Q158">
        <v>1</v>
      </c>
      <c r="T158">
        <v>0</v>
      </c>
      <c r="U158">
        <v>1</v>
      </c>
      <c r="V158">
        <v>83.2</v>
      </c>
      <c r="W158">
        <v>4</v>
      </c>
      <c r="X158">
        <v>79.2</v>
      </c>
      <c r="Y158">
        <v>4</v>
      </c>
      <c r="AB158">
        <v>0</v>
      </c>
      <c r="AC158">
        <v>1</v>
      </c>
      <c r="AD158">
        <v>156.4</v>
      </c>
      <c r="AG158">
        <v>156.4</v>
      </c>
      <c r="AH158" s="5">
        <v>82.2</v>
      </c>
      <c r="AI158">
        <v>156.4</v>
      </c>
      <c r="AJ158">
        <v>4</v>
      </c>
      <c r="AK158" t="s">
        <v>190</v>
      </c>
      <c r="AL158" t="s">
        <v>398</v>
      </c>
    </row>
    <row r="159" spans="1:38" x14ac:dyDescent="0.3">
      <c r="A159" t="s">
        <v>233</v>
      </c>
      <c r="B159">
        <v>158</v>
      </c>
      <c r="C159">
        <v>2</v>
      </c>
      <c r="D159" t="s">
        <v>116</v>
      </c>
      <c r="E159" t="s">
        <v>29</v>
      </c>
      <c r="F159" t="s">
        <v>141</v>
      </c>
      <c r="G159" t="s">
        <v>203</v>
      </c>
      <c r="H159" t="s">
        <v>67</v>
      </c>
      <c r="I159" t="s">
        <v>25</v>
      </c>
      <c r="L159">
        <v>0</v>
      </c>
      <c r="M159">
        <v>1</v>
      </c>
      <c r="N159">
        <v>73.900000000000006</v>
      </c>
      <c r="O159">
        <v>2.5</v>
      </c>
      <c r="P159">
        <v>71.400000000000006</v>
      </c>
      <c r="Q159">
        <v>1</v>
      </c>
      <c r="R159">
        <v>72.5</v>
      </c>
      <c r="S159">
        <v>2.5</v>
      </c>
      <c r="T159">
        <v>70</v>
      </c>
      <c r="U159">
        <v>1</v>
      </c>
      <c r="X159">
        <v>0</v>
      </c>
      <c r="Y159">
        <v>1</v>
      </c>
      <c r="Z159">
        <v>69.900000000000006</v>
      </c>
      <c r="AA159">
        <v>2.5</v>
      </c>
      <c r="AB159">
        <v>67.400000000000006</v>
      </c>
      <c r="AC159">
        <v>1</v>
      </c>
      <c r="AD159">
        <v>208.8</v>
      </c>
      <c r="AG159">
        <v>208.8</v>
      </c>
      <c r="AH159" s="5">
        <v>72.100000000000009</v>
      </c>
      <c r="AI159">
        <v>208.8</v>
      </c>
      <c r="AJ159">
        <v>1</v>
      </c>
      <c r="AK159" t="s">
        <v>190</v>
      </c>
      <c r="AL159" t="s">
        <v>403</v>
      </c>
    </row>
    <row r="160" spans="1:38" x14ac:dyDescent="0.3">
      <c r="A160" t="s">
        <v>233</v>
      </c>
      <c r="B160">
        <v>160</v>
      </c>
      <c r="C160">
        <v>2</v>
      </c>
      <c r="D160" t="s">
        <v>116</v>
      </c>
      <c r="E160" t="s">
        <v>29</v>
      </c>
      <c r="F160" t="s">
        <v>141</v>
      </c>
      <c r="G160" t="s">
        <v>204</v>
      </c>
      <c r="H160" t="s">
        <v>31</v>
      </c>
      <c r="I160" t="s">
        <v>25</v>
      </c>
      <c r="L160">
        <v>0</v>
      </c>
      <c r="M160">
        <v>1</v>
      </c>
      <c r="N160">
        <v>69.099999999999994</v>
      </c>
      <c r="O160">
        <v>1</v>
      </c>
      <c r="P160">
        <v>68.099999999999994</v>
      </c>
      <c r="Q160">
        <v>3</v>
      </c>
      <c r="R160">
        <v>70.400000000000006</v>
      </c>
      <c r="S160">
        <v>1</v>
      </c>
      <c r="T160">
        <v>69.400000000000006</v>
      </c>
      <c r="U160">
        <v>3</v>
      </c>
      <c r="X160">
        <v>0</v>
      </c>
      <c r="Y160">
        <v>1</v>
      </c>
      <c r="Z160">
        <v>68</v>
      </c>
      <c r="AA160">
        <v>1</v>
      </c>
      <c r="AB160">
        <v>67</v>
      </c>
      <c r="AC160">
        <v>2</v>
      </c>
      <c r="AD160">
        <v>204.5</v>
      </c>
      <c r="AG160">
        <v>204.5</v>
      </c>
      <c r="AH160" s="5">
        <v>69.166666666666671</v>
      </c>
      <c r="AI160">
        <v>204.5</v>
      </c>
      <c r="AJ160">
        <v>2</v>
      </c>
      <c r="AK160" t="s">
        <v>190</v>
      </c>
      <c r="AL160" t="s">
        <v>404</v>
      </c>
    </row>
    <row r="161" spans="1:38" x14ac:dyDescent="0.3">
      <c r="A161" t="s">
        <v>233</v>
      </c>
      <c r="B161">
        <v>156</v>
      </c>
      <c r="C161">
        <v>2</v>
      </c>
      <c r="D161" t="s">
        <v>116</v>
      </c>
      <c r="E161" t="s">
        <v>29</v>
      </c>
      <c r="F161" t="s">
        <v>141</v>
      </c>
      <c r="G161" t="s">
        <v>202</v>
      </c>
      <c r="H161" t="s">
        <v>73</v>
      </c>
      <c r="I161" t="s">
        <v>28</v>
      </c>
      <c r="L161">
        <v>0</v>
      </c>
      <c r="M161">
        <v>1</v>
      </c>
      <c r="N161">
        <v>70.7</v>
      </c>
      <c r="O161">
        <v>2</v>
      </c>
      <c r="P161">
        <v>68.7</v>
      </c>
      <c r="Q161">
        <v>2</v>
      </c>
      <c r="R161">
        <v>71.7</v>
      </c>
      <c r="S161">
        <v>2</v>
      </c>
      <c r="T161">
        <v>69.7</v>
      </c>
      <c r="U161">
        <v>2</v>
      </c>
      <c r="X161">
        <v>0</v>
      </c>
      <c r="Y161">
        <v>1</v>
      </c>
      <c r="Z161">
        <v>66.5</v>
      </c>
      <c r="AA161">
        <v>2</v>
      </c>
      <c r="AB161">
        <v>64.5</v>
      </c>
      <c r="AC161">
        <v>3</v>
      </c>
      <c r="AD161">
        <v>202.9</v>
      </c>
      <c r="AG161">
        <v>202.9</v>
      </c>
      <c r="AH161" s="5">
        <v>69.63333333333334</v>
      </c>
      <c r="AI161">
        <v>202.9</v>
      </c>
      <c r="AJ161">
        <v>3</v>
      </c>
      <c r="AK161" t="s">
        <v>190</v>
      </c>
      <c r="AL161" t="s">
        <v>402</v>
      </c>
    </row>
    <row r="162" spans="1:38" x14ac:dyDescent="0.3">
      <c r="A162" t="s">
        <v>234</v>
      </c>
      <c r="B162">
        <v>161</v>
      </c>
      <c r="D162" t="s">
        <v>117</v>
      </c>
      <c r="E162" t="s">
        <v>30</v>
      </c>
      <c r="F162" t="s">
        <v>100</v>
      </c>
      <c r="G162" t="s">
        <v>405</v>
      </c>
      <c r="H162" t="s">
        <v>45</v>
      </c>
      <c r="I162" t="s">
        <v>25</v>
      </c>
      <c r="J162">
        <v>60</v>
      </c>
      <c r="K162">
        <v>1</v>
      </c>
      <c r="L162">
        <v>59</v>
      </c>
      <c r="M162">
        <v>1</v>
      </c>
      <c r="P162">
        <v>0</v>
      </c>
      <c r="Q162">
        <v>1</v>
      </c>
      <c r="R162">
        <v>60.2</v>
      </c>
      <c r="S162">
        <v>1</v>
      </c>
      <c r="T162">
        <v>59.2</v>
      </c>
      <c r="U162">
        <v>1</v>
      </c>
      <c r="V162">
        <v>60</v>
      </c>
      <c r="W162">
        <v>1</v>
      </c>
      <c r="X162">
        <v>59</v>
      </c>
      <c r="Y162">
        <v>1</v>
      </c>
      <c r="Z162">
        <v>59.4</v>
      </c>
      <c r="AA162">
        <v>1</v>
      </c>
      <c r="AB162">
        <v>58.4</v>
      </c>
      <c r="AC162">
        <v>1</v>
      </c>
      <c r="AD162">
        <v>235.6</v>
      </c>
      <c r="AE162">
        <v>58.4</v>
      </c>
      <c r="AF162">
        <v>59.2</v>
      </c>
      <c r="AG162">
        <v>117.99999999999999</v>
      </c>
      <c r="AH162" s="5">
        <v>59.9</v>
      </c>
      <c r="AI162">
        <v>117.99999999999999</v>
      </c>
      <c r="AJ162">
        <v>1</v>
      </c>
      <c r="AK162" t="s">
        <v>26</v>
      </c>
      <c r="AL162" t="s">
        <v>406</v>
      </c>
    </row>
    <row r="163" spans="1:38" x14ac:dyDescent="0.3">
      <c r="A163" t="s">
        <v>235</v>
      </c>
      <c r="B163">
        <v>162</v>
      </c>
      <c r="D163" t="s">
        <v>117</v>
      </c>
      <c r="E163" t="s">
        <v>23</v>
      </c>
      <c r="F163" t="s">
        <v>141</v>
      </c>
      <c r="G163" t="s">
        <v>405</v>
      </c>
      <c r="H163" t="s">
        <v>32</v>
      </c>
      <c r="I163" t="s">
        <v>25</v>
      </c>
      <c r="J163">
        <v>66.400000000000006</v>
      </c>
      <c r="K163">
        <v>4.5</v>
      </c>
      <c r="L163">
        <v>61.900000000000006</v>
      </c>
      <c r="M163">
        <v>1</v>
      </c>
      <c r="P163">
        <v>0</v>
      </c>
      <c r="Q163">
        <v>1</v>
      </c>
      <c r="R163">
        <v>65.3</v>
      </c>
      <c r="S163">
        <v>4.5</v>
      </c>
      <c r="T163">
        <v>60.8</v>
      </c>
      <c r="U163">
        <v>1</v>
      </c>
      <c r="V163">
        <v>65.5</v>
      </c>
      <c r="W163">
        <v>4.5</v>
      </c>
      <c r="X163">
        <v>61</v>
      </c>
      <c r="Y163">
        <v>1</v>
      </c>
      <c r="Z163">
        <v>66.400000000000006</v>
      </c>
      <c r="AA163">
        <v>4.5</v>
      </c>
      <c r="AB163">
        <v>61.900000000000006</v>
      </c>
      <c r="AC163">
        <v>1</v>
      </c>
      <c r="AD163">
        <v>245.6</v>
      </c>
      <c r="AE163">
        <v>60.8</v>
      </c>
      <c r="AF163">
        <v>61.900000000000006</v>
      </c>
      <c r="AG163">
        <v>122.9</v>
      </c>
      <c r="AH163" s="5">
        <v>65.900000000000006</v>
      </c>
      <c r="AI163">
        <v>122.9</v>
      </c>
      <c r="AJ163">
        <v>1</v>
      </c>
      <c r="AK163" t="s">
        <v>26</v>
      </c>
      <c r="AL163" t="s">
        <v>407</v>
      </c>
    </row>
    <row r="164" spans="1:38" x14ac:dyDescent="0.3">
      <c r="A164" t="s">
        <v>235</v>
      </c>
      <c r="B164">
        <v>163</v>
      </c>
      <c r="D164" t="s">
        <v>117</v>
      </c>
      <c r="E164" t="s">
        <v>23</v>
      </c>
      <c r="F164" t="s">
        <v>141</v>
      </c>
      <c r="G164" t="s">
        <v>405</v>
      </c>
      <c r="H164" t="s">
        <v>45</v>
      </c>
      <c r="I164" t="s">
        <v>25</v>
      </c>
      <c r="J164">
        <v>59.6</v>
      </c>
      <c r="K164">
        <v>2</v>
      </c>
      <c r="L164">
        <v>57.6</v>
      </c>
      <c r="M164">
        <v>2</v>
      </c>
      <c r="P164">
        <v>0</v>
      </c>
      <c r="Q164">
        <v>1</v>
      </c>
      <c r="R164">
        <v>59.9</v>
      </c>
      <c r="S164">
        <v>2</v>
      </c>
      <c r="T164">
        <v>57.9</v>
      </c>
      <c r="U164">
        <v>2</v>
      </c>
      <c r="V164">
        <v>60.3</v>
      </c>
      <c r="W164">
        <v>2</v>
      </c>
      <c r="X164">
        <v>58.3</v>
      </c>
      <c r="Y164">
        <v>3</v>
      </c>
      <c r="Z164">
        <v>61.4</v>
      </c>
      <c r="AA164">
        <v>2</v>
      </c>
      <c r="AB164">
        <v>59.4</v>
      </c>
      <c r="AC164">
        <v>2</v>
      </c>
      <c r="AD164">
        <v>233.20000000000002</v>
      </c>
      <c r="AE164">
        <v>57.6</v>
      </c>
      <c r="AF164">
        <v>59.4</v>
      </c>
      <c r="AG164">
        <v>116.20000000000002</v>
      </c>
      <c r="AH164" s="5">
        <v>60.300000000000004</v>
      </c>
      <c r="AI164">
        <v>116.20000000000002</v>
      </c>
      <c r="AJ164">
        <v>2</v>
      </c>
      <c r="AK164" t="s">
        <v>26</v>
      </c>
      <c r="AL164" t="s">
        <v>408</v>
      </c>
    </row>
    <row r="165" spans="1:38" x14ac:dyDescent="0.3">
      <c r="A165" t="s">
        <v>235</v>
      </c>
      <c r="B165">
        <v>164</v>
      </c>
      <c r="D165" t="s">
        <v>117</v>
      </c>
      <c r="E165" t="s">
        <v>23</v>
      </c>
      <c r="F165" t="s">
        <v>141</v>
      </c>
      <c r="G165" t="s">
        <v>405</v>
      </c>
      <c r="H165" t="s">
        <v>63</v>
      </c>
      <c r="I165" t="s">
        <v>25</v>
      </c>
      <c r="J165">
        <v>61.4</v>
      </c>
      <c r="K165">
        <v>4</v>
      </c>
      <c r="L165">
        <v>57.4</v>
      </c>
      <c r="M165">
        <v>3</v>
      </c>
      <c r="P165">
        <v>0</v>
      </c>
      <c r="Q165">
        <v>1</v>
      </c>
      <c r="R165">
        <v>61.3</v>
      </c>
      <c r="S165">
        <v>4</v>
      </c>
      <c r="T165">
        <v>57.3</v>
      </c>
      <c r="U165">
        <v>3</v>
      </c>
      <c r="V165">
        <v>62.7</v>
      </c>
      <c r="W165">
        <v>4</v>
      </c>
      <c r="X165">
        <v>58.7</v>
      </c>
      <c r="Y165">
        <v>2</v>
      </c>
      <c r="Z165">
        <v>62.9</v>
      </c>
      <c r="AA165">
        <v>4</v>
      </c>
      <c r="AB165">
        <v>58.9</v>
      </c>
      <c r="AC165">
        <v>3</v>
      </c>
      <c r="AD165">
        <v>232.29999999999998</v>
      </c>
      <c r="AE165">
        <v>57.3</v>
      </c>
      <c r="AF165">
        <v>58.9</v>
      </c>
      <c r="AG165">
        <v>116.1</v>
      </c>
      <c r="AH165" s="5">
        <v>62.074999999999996</v>
      </c>
      <c r="AI165">
        <v>116.1</v>
      </c>
      <c r="AJ165">
        <v>3</v>
      </c>
      <c r="AK165" t="s">
        <v>26</v>
      </c>
      <c r="AL165" t="s">
        <v>409</v>
      </c>
    </row>
    <row r="166" spans="1:38" x14ac:dyDescent="0.3">
      <c r="A166" t="s">
        <v>236</v>
      </c>
      <c r="B166">
        <v>165</v>
      </c>
      <c r="D166" t="s">
        <v>117</v>
      </c>
      <c r="E166" t="s">
        <v>23</v>
      </c>
      <c r="F166" t="s">
        <v>78</v>
      </c>
      <c r="G166" t="s">
        <v>405</v>
      </c>
      <c r="H166" t="s">
        <v>47</v>
      </c>
      <c r="I166" t="s">
        <v>25</v>
      </c>
      <c r="J166">
        <v>77.2</v>
      </c>
      <c r="K166">
        <v>2</v>
      </c>
      <c r="L166">
        <v>75.2</v>
      </c>
      <c r="M166">
        <v>1</v>
      </c>
      <c r="P166">
        <v>0</v>
      </c>
      <c r="Q166">
        <v>1</v>
      </c>
      <c r="R166">
        <v>77.2</v>
      </c>
      <c r="S166">
        <v>2</v>
      </c>
      <c r="T166">
        <v>75.2</v>
      </c>
      <c r="U166">
        <v>1</v>
      </c>
      <c r="V166">
        <v>77.599999999999994</v>
      </c>
      <c r="W166">
        <v>2</v>
      </c>
      <c r="X166">
        <v>75.599999999999994</v>
      </c>
      <c r="Y166">
        <v>1</v>
      </c>
      <c r="Z166">
        <v>76.400000000000006</v>
      </c>
      <c r="AA166">
        <v>2</v>
      </c>
      <c r="AB166">
        <v>74.400000000000006</v>
      </c>
      <c r="AC166">
        <v>1</v>
      </c>
      <c r="AD166">
        <v>300.39999999999998</v>
      </c>
      <c r="AE166">
        <v>74.400000000000006</v>
      </c>
      <c r="AF166">
        <v>75.599999999999994</v>
      </c>
      <c r="AG166">
        <v>150.39999999999998</v>
      </c>
      <c r="AH166" s="5">
        <v>77.099999999999994</v>
      </c>
      <c r="AI166">
        <v>150.39999999999998</v>
      </c>
      <c r="AJ166">
        <v>1</v>
      </c>
      <c r="AK166" t="s">
        <v>26</v>
      </c>
      <c r="AL166" t="s">
        <v>410</v>
      </c>
    </row>
    <row r="167" spans="1:38" x14ac:dyDescent="0.3">
      <c r="A167" t="s">
        <v>237</v>
      </c>
      <c r="B167">
        <v>168</v>
      </c>
      <c r="D167" t="s">
        <v>117</v>
      </c>
      <c r="E167" t="s">
        <v>27</v>
      </c>
      <c r="F167" t="s">
        <v>141</v>
      </c>
      <c r="G167" t="s">
        <v>405</v>
      </c>
      <c r="H167" t="s">
        <v>49</v>
      </c>
      <c r="I167" t="s">
        <v>25</v>
      </c>
      <c r="J167">
        <v>82.9</v>
      </c>
      <c r="K167">
        <v>2</v>
      </c>
      <c r="L167">
        <v>80.900000000000006</v>
      </c>
      <c r="M167">
        <v>1</v>
      </c>
      <c r="P167">
        <v>0</v>
      </c>
      <c r="Q167">
        <v>1</v>
      </c>
      <c r="R167">
        <v>75.400000000000006</v>
      </c>
      <c r="S167">
        <v>2</v>
      </c>
      <c r="T167">
        <v>73.400000000000006</v>
      </c>
      <c r="U167">
        <v>1</v>
      </c>
      <c r="V167">
        <v>79.3</v>
      </c>
      <c r="W167">
        <v>2</v>
      </c>
      <c r="X167">
        <v>77.3</v>
      </c>
      <c r="Y167">
        <v>1</v>
      </c>
      <c r="Z167">
        <v>74.2</v>
      </c>
      <c r="AA167">
        <v>2</v>
      </c>
      <c r="AB167">
        <v>72.2</v>
      </c>
      <c r="AC167">
        <v>1</v>
      </c>
      <c r="AD167">
        <v>303.8</v>
      </c>
      <c r="AE167">
        <v>72.2</v>
      </c>
      <c r="AF167">
        <v>80.900000000000006</v>
      </c>
      <c r="AG167">
        <v>150.70000000000002</v>
      </c>
      <c r="AH167" s="5">
        <v>77.95</v>
      </c>
      <c r="AI167">
        <v>150.70000000000002</v>
      </c>
      <c r="AJ167">
        <v>1</v>
      </c>
      <c r="AK167" t="s">
        <v>26</v>
      </c>
      <c r="AL167" t="s">
        <v>413</v>
      </c>
    </row>
    <row r="168" spans="1:38" x14ac:dyDescent="0.3">
      <c r="A168" t="s">
        <v>237</v>
      </c>
      <c r="B168">
        <v>167</v>
      </c>
      <c r="D168" t="s">
        <v>117</v>
      </c>
      <c r="E168" t="s">
        <v>27</v>
      </c>
      <c r="F168" t="s">
        <v>141</v>
      </c>
      <c r="G168" t="s">
        <v>405</v>
      </c>
      <c r="H168" t="s">
        <v>45</v>
      </c>
      <c r="I168" t="s">
        <v>25</v>
      </c>
      <c r="J168">
        <v>72.400000000000006</v>
      </c>
      <c r="K168">
        <v>2.5</v>
      </c>
      <c r="L168">
        <v>69.900000000000006</v>
      </c>
      <c r="M168">
        <v>2</v>
      </c>
      <c r="P168">
        <v>0</v>
      </c>
      <c r="Q168">
        <v>1</v>
      </c>
      <c r="R168">
        <v>72.400000000000006</v>
      </c>
      <c r="S168">
        <v>2.5</v>
      </c>
      <c r="T168">
        <v>69.900000000000006</v>
      </c>
      <c r="U168">
        <v>2</v>
      </c>
      <c r="V168">
        <v>72.5</v>
      </c>
      <c r="W168">
        <v>2.5</v>
      </c>
      <c r="X168">
        <v>70</v>
      </c>
      <c r="Y168">
        <v>2</v>
      </c>
      <c r="Z168">
        <v>69.2</v>
      </c>
      <c r="AA168">
        <v>2.5</v>
      </c>
      <c r="AB168">
        <v>66.7</v>
      </c>
      <c r="AC168">
        <v>2</v>
      </c>
      <c r="AD168">
        <v>276.5</v>
      </c>
      <c r="AE168">
        <v>66.7</v>
      </c>
      <c r="AF168">
        <v>70</v>
      </c>
      <c r="AG168">
        <v>139.80000000000001</v>
      </c>
      <c r="AH168" s="5">
        <v>71.625</v>
      </c>
      <c r="AI168">
        <v>139.80000000000001</v>
      </c>
      <c r="AJ168">
        <v>2</v>
      </c>
      <c r="AK168" t="s">
        <v>26</v>
      </c>
      <c r="AL168" t="s">
        <v>412</v>
      </c>
    </row>
    <row r="169" spans="1:38" x14ac:dyDescent="0.3">
      <c r="A169" t="s">
        <v>237</v>
      </c>
      <c r="B169">
        <v>166</v>
      </c>
      <c r="D169" t="s">
        <v>117</v>
      </c>
      <c r="E169" t="s">
        <v>27</v>
      </c>
      <c r="F169" t="s">
        <v>141</v>
      </c>
      <c r="G169" t="s">
        <v>405</v>
      </c>
      <c r="H169" t="s">
        <v>109</v>
      </c>
      <c r="I169" t="s">
        <v>28</v>
      </c>
      <c r="J169">
        <v>66</v>
      </c>
      <c r="K169">
        <v>2.5</v>
      </c>
      <c r="L169">
        <v>63.5</v>
      </c>
      <c r="M169">
        <v>3</v>
      </c>
      <c r="P169">
        <v>0</v>
      </c>
      <c r="Q169">
        <v>1</v>
      </c>
      <c r="R169">
        <v>66.3</v>
      </c>
      <c r="S169">
        <v>2.5</v>
      </c>
      <c r="T169">
        <v>63.8</v>
      </c>
      <c r="U169">
        <v>3</v>
      </c>
      <c r="V169">
        <v>67</v>
      </c>
      <c r="W169">
        <v>2.5</v>
      </c>
      <c r="X169">
        <v>64.5</v>
      </c>
      <c r="Y169">
        <v>3</v>
      </c>
      <c r="Z169">
        <v>66.2</v>
      </c>
      <c r="AA169">
        <v>2.5</v>
      </c>
      <c r="AB169">
        <v>63.7</v>
      </c>
      <c r="AC169">
        <v>3</v>
      </c>
      <c r="AD169">
        <v>255.5</v>
      </c>
      <c r="AE169">
        <v>63.5</v>
      </c>
      <c r="AF169">
        <v>64.5</v>
      </c>
      <c r="AG169">
        <v>127.5</v>
      </c>
      <c r="AH169" s="5">
        <v>66.375</v>
      </c>
      <c r="AI169">
        <v>127.5</v>
      </c>
      <c r="AJ169">
        <v>3</v>
      </c>
      <c r="AK169" t="s">
        <v>26</v>
      </c>
      <c r="AL169" t="s">
        <v>411</v>
      </c>
    </row>
    <row r="170" spans="1:38" x14ac:dyDescent="0.3">
      <c r="A170" t="s">
        <v>237</v>
      </c>
      <c r="B170">
        <v>169</v>
      </c>
      <c r="D170" t="s">
        <v>117</v>
      </c>
      <c r="E170" t="s">
        <v>27</v>
      </c>
      <c r="F170" t="s">
        <v>141</v>
      </c>
      <c r="G170" t="s">
        <v>405</v>
      </c>
      <c r="H170" t="s">
        <v>32</v>
      </c>
      <c r="I170" t="s">
        <v>25</v>
      </c>
      <c r="J170">
        <v>70.8</v>
      </c>
      <c r="K170">
        <v>8</v>
      </c>
      <c r="L170">
        <v>62.8</v>
      </c>
      <c r="M170">
        <v>4</v>
      </c>
      <c r="P170">
        <v>0</v>
      </c>
      <c r="Q170">
        <v>1</v>
      </c>
      <c r="R170">
        <v>70.900000000000006</v>
      </c>
      <c r="S170">
        <v>8</v>
      </c>
      <c r="T170">
        <v>62.900000000000006</v>
      </c>
      <c r="U170">
        <v>4</v>
      </c>
      <c r="V170">
        <v>71.900000000000006</v>
      </c>
      <c r="W170">
        <v>8</v>
      </c>
      <c r="X170">
        <v>63.900000000000006</v>
      </c>
      <c r="Y170">
        <v>4</v>
      </c>
      <c r="Z170">
        <v>65.3</v>
      </c>
      <c r="AA170">
        <v>8</v>
      </c>
      <c r="AB170">
        <v>57.3</v>
      </c>
      <c r="AC170">
        <v>4</v>
      </c>
      <c r="AD170">
        <v>246.90000000000003</v>
      </c>
      <c r="AE170">
        <v>57.3</v>
      </c>
      <c r="AF170">
        <v>63.900000000000006</v>
      </c>
      <c r="AG170">
        <v>125.70000000000002</v>
      </c>
      <c r="AH170" s="5">
        <v>69.724999999999994</v>
      </c>
      <c r="AI170">
        <v>125.70000000000002</v>
      </c>
      <c r="AJ170">
        <v>4</v>
      </c>
      <c r="AK170" t="s">
        <v>26</v>
      </c>
      <c r="AL170" t="s">
        <v>414</v>
      </c>
    </row>
    <row r="171" spans="1:38" x14ac:dyDescent="0.3">
      <c r="A171" t="s">
        <v>238</v>
      </c>
      <c r="B171">
        <v>170</v>
      </c>
      <c r="D171" t="s">
        <v>117</v>
      </c>
      <c r="E171" t="s">
        <v>29</v>
      </c>
      <c r="F171" t="s">
        <v>141</v>
      </c>
      <c r="G171" t="s">
        <v>405</v>
      </c>
      <c r="H171" t="s">
        <v>47</v>
      </c>
      <c r="I171" t="s">
        <v>25</v>
      </c>
      <c r="J171">
        <v>86.4</v>
      </c>
      <c r="K171">
        <v>2</v>
      </c>
      <c r="L171">
        <v>84.4</v>
      </c>
      <c r="M171">
        <v>1</v>
      </c>
      <c r="P171">
        <v>0</v>
      </c>
      <c r="Q171">
        <v>1</v>
      </c>
      <c r="R171">
        <v>86.1</v>
      </c>
      <c r="S171">
        <v>2</v>
      </c>
      <c r="T171">
        <v>84.1</v>
      </c>
      <c r="U171">
        <v>1</v>
      </c>
      <c r="V171">
        <v>86.4</v>
      </c>
      <c r="W171">
        <v>2</v>
      </c>
      <c r="X171">
        <v>84.4</v>
      </c>
      <c r="Y171">
        <v>1</v>
      </c>
      <c r="Z171">
        <v>84.5</v>
      </c>
      <c r="AA171">
        <v>2</v>
      </c>
      <c r="AB171">
        <v>82.5</v>
      </c>
      <c r="AC171">
        <v>1</v>
      </c>
      <c r="AD171">
        <v>335.4</v>
      </c>
      <c r="AE171">
        <v>82.5</v>
      </c>
      <c r="AF171">
        <v>84.4</v>
      </c>
      <c r="AG171">
        <v>168.49999999999997</v>
      </c>
      <c r="AH171" s="5">
        <v>85.85</v>
      </c>
      <c r="AI171">
        <v>168.49999999999997</v>
      </c>
      <c r="AJ171">
        <v>1</v>
      </c>
      <c r="AK171" t="s">
        <v>26</v>
      </c>
      <c r="AL171" t="s">
        <v>415</v>
      </c>
    </row>
    <row r="172" spans="1:38" x14ac:dyDescent="0.3">
      <c r="A172" t="s">
        <v>238</v>
      </c>
      <c r="B172">
        <v>171</v>
      </c>
      <c r="D172" t="s">
        <v>117</v>
      </c>
      <c r="E172" t="s">
        <v>29</v>
      </c>
      <c r="F172" t="s">
        <v>141</v>
      </c>
      <c r="G172" t="s">
        <v>405</v>
      </c>
      <c r="H172" t="s">
        <v>73</v>
      </c>
      <c r="I172" t="s">
        <v>28</v>
      </c>
      <c r="J172">
        <v>68.099999999999994</v>
      </c>
      <c r="K172">
        <v>5.5</v>
      </c>
      <c r="L172">
        <v>62.599999999999994</v>
      </c>
      <c r="M172">
        <v>2</v>
      </c>
      <c r="P172">
        <v>0</v>
      </c>
      <c r="Q172">
        <v>1</v>
      </c>
      <c r="R172">
        <v>70.400000000000006</v>
      </c>
      <c r="S172">
        <v>5.5</v>
      </c>
      <c r="T172">
        <v>64.900000000000006</v>
      </c>
      <c r="U172">
        <v>2</v>
      </c>
      <c r="V172">
        <v>70.5</v>
      </c>
      <c r="W172">
        <v>5.5</v>
      </c>
      <c r="X172">
        <v>65</v>
      </c>
      <c r="Y172">
        <v>2</v>
      </c>
      <c r="Z172">
        <v>68.400000000000006</v>
      </c>
      <c r="AA172">
        <v>5.5</v>
      </c>
      <c r="AB172">
        <v>62.900000000000006</v>
      </c>
      <c r="AC172">
        <v>2</v>
      </c>
      <c r="AD172">
        <v>255.4</v>
      </c>
      <c r="AE172">
        <v>62.599999999999994</v>
      </c>
      <c r="AF172">
        <v>65</v>
      </c>
      <c r="AG172">
        <v>127.80000000000001</v>
      </c>
      <c r="AH172" s="5">
        <v>69.349999999999994</v>
      </c>
      <c r="AI172">
        <v>127.80000000000001</v>
      </c>
      <c r="AJ172">
        <v>2</v>
      </c>
      <c r="AK172" t="s">
        <v>26</v>
      </c>
      <c r="AL172" t="s">
        <v>416</v>
      </c>
    </row>
    <row r="173" spans="1:38" x14ac:dyDescent="0.3">
      <c r="A173" t="s">
        <v>239</v>
      </c>
      <c r="B173">
        <v>173</v>
      </c>
      <c r="D173" t="s">
        <v>118</v>
      </c>
      <c r="E173" t="s">
        <v>30</v>
      </c>
      <c r="G173" t="s">
        <v>405</v>
      </c>
      <c r="H173" t="s">
        <v>31</v>
      </c>
      <c r="I173" t="s">
        <v>25</v>
      </c>
      <c r="J173">
        <v>62.9</v>
      </c>
      <c r="K173">
        <v>3</v>
      </c>
      <c r="L173">
        <v>59.9</v>
      </c>
      <c r="M173">
        <v>1</v>
      </c>
      <c r="P173">
        <v>0</v>
      </c>
      <c r="Q173">
        <v>1</v>
      </c>
      <c r="R173">
        <v>61.4</v>
      </c>
      <c r="S173">
        <v>3</v>
      </c>
      <c r="T173">
        <v>58.4</v>
      </c>
      <c r="U173">
        <v>1</v>
      </c>
      <c r="V173">
        <v>62.3</v>
      </c>
      <c r="W173">
        <v>3</v>
      </c>
      <c r="X173">
        <v>59.3</v>
      </c>
      <c r="Y173">
        <v>1</v>
      </c>
      <c r="Z173">
        <v>63.1</v>
      </c>
      <c r="AA173">
        <v>3</v>
      </c>
      <c r="AB173">
        <v>60.1</v>
      </c>
      <c r="AC173">
        <v>1</v>
      </c>
      <c r="AD173">
        <v>237.7</v>
      </c>
      <c r="AE173">
        <v>58.4</v>
      </c>
      <c r="AF173">
        <v>60.1</v>
      </c>
      <c r="AG173">
        <v>119.19999999999999</v>
      </c>
      <c r="AH173" s="5">
        <v>62.424999999999997</v>
      </c>
      <c r="AI173">
        <v>119.19999999999999</v>
      </c>
      <c r="AJ173">
        <v>1</v>
      </c>
      <c r="AK173" t="s">
        <v>26</v>
      </c>
    </row>
    <row r="174" spans="1:38" x14ac:dyDescent="0.3">
      <c r="A174" t="s">
        <v>239</v>
      </c>
      <c r="B174">
        <v>172</v>
      </c>
      <c r="D174" t="s">
        <v>118</v>
      </c>
      <c r="E174" t="s">
        <v>30</v>
      </c>
      <c r="G174" t="s">
        <v>405</v>
      </c>
      <c r="H174" t="s">
        <v>63</v>
      </c>
      <c r="I174" t="s">
        <v>25</v>
      </c>
      <c r="J174">
        <v>61.9</v>
      </c>
      <c r="K174">
        <v>2.5</v>
      </c>
      <c r="L174">
        <v>59.4</v>
      </c>
      <c r="M174">
        <v>2</v>
      </c>
      <c r="P174">
        <v>0</v>
      </c>
      <c r="Q174">
        <v>1</v>
      </c>
      <c r="R174">
        <v>60.7</v>
      </c>
      <c r="S174">
        <v>2.5</v>
      </c>
      <c r="T174">
        <v>58.2</v>
      </c>
      <c r="U174">
        <v>2</v>
      </c>
      <c r="V174">
        <v>61</v>
      </c>
      <c r="W174">
        <v>2.5</v>
      </c>
      <c r="X174">
        <v>58.5</v>
      </c>
      <c r="Y174">
        <v>2</v>
      </c>
      <c r="Z174">
        <v>61.7</v>
      </c>
      <c r="AA174">
        <v>2.5</v>
      </c>
      <c r="AB174">
        <v>59.2</v>
      </c>
      <c r="AC174">
        <v>2</v>
      </c>
      <c r="AD174">
        <v>235.3</v>
      </c>
      <c r="AE174">
        <v>58.2</v>
      </c>
      <c r="AF174">
        <v>59.4</v>
      </c>
      <c r="AG174">
        <v>117.70000000000002</v>
      </c>
      <c r="AH174" s="5">
        <v>61.325000000000003</v>
      </c>
      <c r="AI174">
        <v>117.70000000000002</v>
      </c>
      <c r="AJ174">
        <v>2</v>
      </c>
      <c r="AK174" t="s">
        <v>26</v>
      </c>
    </row>
    <row r="175" spans="1:38" x14ac:dyDescent="0.3">
      <c r="A175" t="s">
        <v>240</v>
      </c>
      <c r="B175">
        <v>175</v>
      </c>
      <c r="D175" t="s">
        <v>118</v>
      </c>
      <c r="E175" t="s">
        <v>23</v>
      </c>
      <c r="G175" t="s">
        <v>405</v>
      </c>
      <c r="H175" t="s">
        <v>63</v>
      </c>
      <c r="I175" t="s">
        <v>25</v>
      </c>
      <c r="J175">
        <v>67.3</v>
      </c>
      <c r="K175">
        <v>1</v>
      </c>
      <c r="L175">
        <v>66.3</v>
      </c>
      <c r="M175">
        <v>2</v>
      </c>
      <c r="P175">
        <v>0</v>
      </c>
      <c r="Q175">
        <v>1</v>
      </c>
      <c r="R175">
        <v>67.599999999999994</v>
      </c>
      <c r="S175">
        <v>1</v>
      </c>
      <c r="T175">
        <v>66.599999999999994</v>
      </c>
      <c r="U175">
        <v>1</v>
      </c>
      <c r="V175">
        <v>68.3</v>
      </c>
      <c r="W175">
        <v>1</v>
      </c>
      <c r="X175">
        <v>67.3</v>
      </c>
      <c r="Y175">
        <v>1</v>
      </c>
      <c r="Z175">
        <v>69.2</v>
      </c>
      <c r="AA175">
        <v>1</v>
      </c>
      <c r="AB175">
        <v>68.2</v>
      </c>
      <c r="AC175">
        <v>1</v>
      </c>
      <c r="AD175">
        <v>268.39999999999998</v>
      </c>
      <c r="AE175">
        <v>66.3</v>
      </c>
      <c r="AF175">
        <v>68.2</v>
      </c>
      <c r="AG175">
        <v>133.89999999999998</v>
      </c>
      <c r="AH175" s="5">
        <v>68.099999999999994</v>
      </c>
      <c r="AI175">
        <v>133.89999999999998</v>
      </c>
      <c r="AJ175">
        <v>1</v>
      </c>
      <c r="AK175" t="s">
        <v>26</v>
      </c>
    </row>
    <row r="176" spans="1:38" x14ac:dyDescent="0.3">
      <c r="A176" t="s">
        <v>240</v>
      </c>
      <c r="B176">
        <v>174</v>
      </c>
      <c r="D176" t="s">
        <v>118</v>
      </c>
      <c r="E176" t="s">
        <v>23</v>
      </c>
      <c r="G176" t="s">
        <v>405</v>
      </c>
      <c r="H176" t="s">
        <v>67</v>
      </c>
      <c r="I176" t="s">
        <v>25</v>
      </c>
      <c r="J176">
        <v>70.099999999999994</v>
      </c>
      <c r="K176">
        <v>3.5</v>
      </c>
      <c r="L176">
        <v>66.599999999999994</v>
      </c>
      <c r="M176">
        <v>1</v>
      </c>
      <c r="P176">
        <v>0</v>
      </c>
      <c r="Q176">
        <v>1</v>
      </c>
      <c r="R176">
        <v>70</v>
      </c>
      <c r="S176">
        <v>3.5</v>
      </c>
      <c r="T176">
        <v>66.5</v>
      </c>
      <c r="U176">
        <v>2</v>
      </c>
      <c r="V176">
        <v>70.2</v>
      </c>
      <c r="W176">
        <v>3.5</v>
      </c>
      <c r="X176">
        <v>66.7</v>
      </c>
      <c r="Y176">
        <v>2</v>
      </c>
      <c r="Z176">
        <v>70.3</v>
      </c>
      <c r="AA176">
        <v>3.5</v>
      </c>
      <c r="AB176">
        <v>66.8</v>
      </c>
      <c r="AC176">
        <v>2</v>
      </c>
      <c r="AD176">
        <v>266.60000000000002</v>
      </c>
      <c r="AE176">
        <v>66.5</v>
      </c>
      <c r="AF176">
        <v>66.8</v>
      </c>
      <c r="AG176">
        <v>133.30000000000001</v>
      </c>
      <c r="AH176" s="5">
        <v>70.150000000000006</v>
      </c>
      <c r="AI176">
        <v>133.30000000000001</v>
      </c>
      <c r="AJ176">
        <v>2</v>
      </c>
      <c r="AK176" t="s">
        <v>26</v>
      </c>
    </row>
    <row r="177" spans="1:37" x14ac:dyDescent="0.3">
      <c r="A177" t="s">
        <v>241</v>
      </c>
      <c r="B177">
        <v>176</v>
      </c>
      <c r="D177" t="s">
        <v>118</v>
      </c>
      <c r="E177" t="s">
        <v>29</v>
      </c>
      <c r="G177" t="s">
        <v>405</v>
      </c>
      <c r="H177" t="s">
        <v>67</v>
      </c>
      <c r="I177" t="s">
        <v>25</v>
      </c>
      <c r="J177">
        <v>86.3</v>
      </c>
      <c r="K177">
        <v>3</v>
      </c>
      <c r="L177">
        <v>83.3</v>
      </c>
      <c r="M177">
        <v>1</v>
      </c>
      <c r="P177">
        <v>0</v>
      </c>
      <c r="Q177">
        <v>1</v>
      </c>
      <c r="R177">
        <v>84.8</v>
      </c>
      <c r="S177">
        <v>3</v>
      </c>
      <c r="T177">
        <v>81.8</v>
      </c>
      <c r="U177">
        <v>1</v>
      </c>
      <c r="V177">
        <v>85.8</v>
      </c>
      <c r="W177">
        <v>3</v>
      </c>
      <c r="X177">
        <v>82.8</v>
      </c>
      <c r="Y177">
        <v>1</v>
      </c>
      <c r="Z177">
        <v>85.6</v>
      </c>
      <c r="AA177">
        <v>3</v>
      </c>
      <c r="AB177">
        <v>82.6</v>
      </c>
      <c r="AC177">
        <v>1</v>
      </c>
      <c r="AD177">
        <v>330.5</v>
      </c>
      <c r="AE177">
        <v>81.8</v>
      </c>
      <c r="AF177">
        <v>83.3</v>
      </c>
      <c r="AG177">
        <v>165.39999999999998</v>
      </c>
      <c r="AH177" s="5">
        <v>85.625</v>
      </c>
      <c r="AI177">
        <v>165.39999999999998</v>
      </c>
      <c r="AJ177">
        <v>1</v>
      </c>
      <c r="AK177" t="s">
        <v>26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9EF93-FFC9-427A-958F-373E5FE39A15}">
  <sheetPr codeName="Sheet3"/>
  <dimension ref="A1:BC4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.21875" style="29" bestFit="1" customWidth="1"/>
    <col min="4" max="4" width="9.6640625" style="30" bestFit="1" customWidth="1"/>
    <col min="5" max="5" width="10.5546875" style="30" bestFit="1" customWidth="1"/>
    <col min="6" max="6" width="19.88671875" style="20" bestFit="1" customWidth="1"/>
    <col min="7" max="7" width="43.33203125" style="20" bestFit="1" customWidth="1"/>
    <col min="8" max="8" width="9.6640625" style="20" bestFit="1" customWidth="1"/>
    <col min="9" max="12" width="9.109375" style="20" hidden="1" customWidth="1"/>
    <col min="13" max="20" width="9.109375" style="20" customWidth="1"/>
    <col min="21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14</v>
      </c>
      <c r="B2" s="19">
        <v>2</v>
      </c>
      <c r="C2" s="19" t="s">
        <v>42</v>
      </c>
      <c r="D2" s="19" t="s">
        <v>23</v>
      </c>
      <c r="E2" s="19" t="s">
        <v>43</v>
      </c>
      <c r="F2" s="19" t="s">
        <v>44</v>
      </c>
      <c r="G2" s="19" t="s">
        <v>45</v>
      </c>
      <c r="H2" s="20" t="s">
        <v>25</v>
      </c>
      <c r="I2" s="21"/>
      <c r="J2" s="22"/>
      <c r="K2" s="23">
        <f>Twirling_Solo_F1B_Cadet_Intermediate[[#This Row],[Judge 1
Tamara Beljak]]-J2</f>
        <v>0</v>
      </c>
      <c r="L2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Row],[Category]],Twirling_Solo_F1B_Cadet_Intermediate[J1 TOTAL],"&gt;"&amp;Twirling_Solo_F1B_Cadet_Intermediate[[#This Row],[J1 TOTAL]])+1</f>
        <v>1</v>
      </c>
      <c r="M2" s="21">
        <v>18.5</v>
      </c>
      <c r="N2" s="22">
        <v>0.1</v>
      </c>
      <c r="O2" s="23">
        <f>Twirling_Solo_F1B_Cadet_Intermediate[[#This Row],[Judge 2
Tihomir Bendelja]]-Twirling_Solo_F1B_Cadet_Intermediate[[#This Row],[J2 (-)]]</f>
        <v>18.399999999999999</v>
      </c>
      <c r="P2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Row],[Category]],Twirling_Solo_F1B_Cadet_Intermediate[J2 TOTAL],"&gt;"&amp;Twirling_Solo_F1B_Cadet_Intermediate[[#This Row],[J2 TOTAL]])+1</f>
        <v>1</v>
      </c>
      <c r="Q2" s="21">
        <v>19.100000000000001</v>
      </c>
      <c r="R2" s="22">
        <v>0.1</v>
      </c>
      <c r="S2" s="23">
        <f>Twirling_Solo_F1B_Cadet_Intermediate[[#This Row],[Judge 3
Tea Softić]]-R2</f>
        <v>19</v>
      </c>
      <c r="T2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Row],[Category]],Twirling_Solo_F1B_Cadet_Intermediate[J3 TOTAL],"&gt;"&amp;Twirling_Solo_F1B_Cadet_Intermediate[[#This Row],[J3 TOTAL]])+1</f>
        <v>1</v>
      </c>
      <c r="U2" s="21"/>
      <c r="V2" s="22"/>
      <c r="W2" s="23">
        <f>Twirling_Solo_F1B_Cadet_Intermediate[[#This Row],[Judge 4
Bernard Barač]]-V2</f>
        <v>0</v>
      </c>
      <c r="X2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Row],[Category]],Twirling_Solo_F1B_Cadet_Intermediate[J4 TOTAL],"&gt;"&amp;Twirling_Solo_F1B_Cadet_Intermediate[[#This Row],[J4 TOTAL]])+1</f>
        <v>1</v>
      </c>
      <c r="Y2" s="21"/>
      <c r="Z2" s="22"/>
      <c r="AA2" s="23">
        <f>Twirling_Solo_F1B_Cadet_Intermediate[[#This Row],[Judge 5
Barbara Novina]]-Y2</f>
        <v>0</v>
      </c>
      <c r="AB2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Row],[Category]],Twirling_Solo_F1B_Cadet_Intermediate[J5 TOTAL],"&gt;"&amp;Twirling_Solo_F1B_Cadet_Intermediate[[#This Row],[J5 TOTAL]])+1</f>
        <v>1</v>
      </c>
      <c r="AC2" s="25">
        <f>SUM(Twirling_Solo_F1B_Cadet_Intermediate[[#This Row],[J1 TOTAL]]+Twirling_Solo_F1B_Cadet_Intermediate[[#This Row],[J2 TOTAL]]+Twirling_Solo_F1B_Cadet_Intermediate[[#This Row],[J3 TOTAL]]+Twirling_Solo_F1B_Cadet_Intermediate[[#This Row],[J4 TOTAL]])+Twirling_Solo_F1B_Cadet_Intermediate[[#This Row],[J5 TOTAL]]</f>
        <v>37.4</v>
      </c>
      <c r="AD2" s="25"/>
      <c r="AE2" s="25"/>
      <c r="AF2" s="25">
        <f>SUM(Twirling_Solo_F1B_Cadet_Intermediate[[#This Row],[Total]]-Twirling_Solo_F1B_Cadet_Intermediate[[#This Row],[Low]]-Twirling_Solo_F1B_Cadet_Intermediate[[#This Row],[High]])</f>
        <v>37.4</v>
      </c>
      <c r="AG2" s="25">
        <f>AVERAGE(I2,M2,Q2,U2,Y2)</f>
        <v>18.8</v>
      </c>
      <c r="AH2" s="26">
        <f>Twirling_Solo_F1B_Cadet_Intermediate[[#This Row],[Final Total]]</f>
        <v>37.4</v>
      </c>
      <c r="AI2" s="28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Row],[Category]],Twirling_Solo_F1B_Cadet_Intermediate[FINAL SCORE],"&gt;"&amp;Twirling_Solo_F1B_Cadet_Intermediate[[#This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12</v>
      </c>
      <c r="B3" s="19">
        <v>2</v>
      </c>
      <c r="C3" s="19" t="s">
        <v>42</v>
      </c>
      <c r="D3" s="19" t="s">
        <v>23</v>
      </c>
      <c r="E3" s="19" t="s">
        <v>43</v>
      </c>
      <c r="F3" s="19" t="s">
        <v>48</v>
      </c>
      <c r="G3" s="19" t="s">
        <v>49</v>
      </c>
      <c r="H3" s="20" t="s">
        <v>25</v>
      </c>
      <c r="I3" s="21"/>
      <c r="J3" s="22"/>
      <c r="K3" s="23">
        <f>Twirling_Solo_F1B_Cadet_Intermediate[[#This Row],[Judge 1
Tamara Beljak]]-J3</f>
        <v>0</v>
      </c>
      <c r="L3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Row],[Category]],Twirling_Solo_F1B_Cadet_Intermediate[J1 TOTAL],"&gt;"&amp;Twirling_Solo_F1B_Cadet_Intermediate[[#This Row],[J1 TOTAL]])+1</f>
        <v>1</v>
      </c>
      <c r="M3" s="21">
        <v>19.7</v>
      </c>
      <c r="N3" s="22">
        <v>2.2999999999999998</v>
      </c>
      <c r="O3" s="23">
        <f>Twirling_Solo_F1B_Cadet_Intermediate[[#This Row],[Judge 2
Tihomir Bendelja]]-Twirling_Solo_F1B_Cadet_Intermediate[[#This Row],[J2 (-)]]</f>
        <v>17.399999999999999</v>
      </c>
      <c r="P3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Row],[Category]],Twirling_Solo_F1B_Cadet_Intermediate[J2 TOTAL],"&gt;"&amp;Twirling_Solo_F1B_Cadet_Intermediate[[#This Row],[J2 TOTAL]])+1</f>
        <v>2</v>
      </c>
      <c r="Q3" s="21">
        <v>20</v>
      </c>
      <c r="R3" s="22">
        <v>2.2999999999999998</v>
      </c>
      <c r="S3" s="23">
        <f>Twirling_Solo_F1B_Cadet_Intermediate[[#This Row],[Judge 3
Tea Softić]]-R3</f>
        <v>17.7</v>
      </c>
      <c r="T3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Row],[Category]],Twirling_Solo_F1B_Cadet_Intermediate[J3 TOTAL],"&gt;"&amp;Twirling_Solo_F1B_Cadet_Intermediate[[#This Row],[J3 TOTAL]])+1</f>
        <v>2</v>
      </c>
      <c r="U3" s="21"/>
      <c r="V3" s="22"/>
      <c r="W3" s="23">
        <f>Twirling_Solo_F1B_Cadet_Intermediate[[#This Row],[Judge 4
Bernard Barač]]-V3</f>
        <v>0</v>
      </c>
      <c r="X3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Row],[Category]],Twirling_Solo_F1B_Cadet_Intermediate[J4 TOTAL],"&gt;"&amp;Twirling_Solo_F1B_Cadet_Intermediate[[#This Row],[J4 TOTAL]])+1</f>
        <v>1</v>
      </c>
      <c r="Y3" s="21"/>
      <c r="Z3" s="22"/>
      <c r="AA3" s="23">
        <f>Twirling_Solo_F1B_Cadet_Intermediate[[#This Row],[Judge 5
Barbara Novina]]-Y3</f>
        <v>0</v>
      </c>
      <c r="AB3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Row],[Category]],Twirling_Solo_F1B_Cadet_Intermediate[J5 TOTAL],"&gt;"&amp;Twirling_Solo_F1B_Cadet_Intermediate[[#This Row],[J5 TOTAL]])+1</f>
        <v>1</v>
      </c>
      <c r="AC3" s="25">
        <f>SUM(Twirling_Solo_F1B_Cadet_Intermediate[[#This Row],[J1 TOTAL]]+Twirling_Solo_F1B_Cadet_Intermediate[[#This Row],[J2 TOTAL]]+Twirling_Solo_F1B_Cadet_Intermediate[[#This Row],[J3 TOTAL]]+Twirling_Solo_F1B_Cadet_Intermediate[[#This Row],[J4 TOTAL]])+Twirling_Solo_F1B_Cadet_Intermediate[[#This Row],[J5 TOTAL]]</f>
        <v>35.099999999999994</v>
      </c>
      <c r="AD3" s="25"/>
      <c r="AE3" s="25"/>
      <c r="AF3" s="25">
        <f>SUM(Twirling_Solo_F1B_Cadet_Intermediate[[#This Row],[Total]]-Twirling_Solo_F1B_Cadet_Intermediate[[#This Row],[Low]]-Twirling_Solo_F1B_Cadet_Intermediate[[#This Row],[High]])</f>
        <v>35.099999999999994</v>
      </c>
      <c r="AG3" s="25">
        <f>AVERAGE(I3,M3,Q3,U3,Y3)</f>
        <v>19.850000000000001</v>
      </c>
      <c r="AH3" s="26">
        <f>Twirling_Solo_F1B_Cadet_Intermediate[[#This Row],[Final Total]]</f>
        <v>35.099999999999994</v>
      </c>
      <c r="AI3" s="27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Row],[Category]],Twirling_Solo_F1B_Cadet_Intermediate[FINAL SCORE],"&gt;"&amp;Twirling_Solo_F1B_Cadet_Intermediate[[#This Row],[FINAL SCORE]])+1</f>
        <v>2</v>
      </c>
      <c r="AJ3" s="18" t="s">
        <v>33</v>
      </c>
    </row>
    <row r="4" spans="1:55" ht="15.6" x14ac:dyDescent="0.3">
      <c r="A4" s="18">
        <v>16</v>
      </c>
      <c r="B4" s="19">
        <v>2</v>
      </c>
      <c r="C4" s="19" t="s">
        <v>42</v>
      </c>
      <c r="D4" s="19" t="s">
        <v>23</v>
      </c>
      <c r="E4" s="19" t="s">
        <v>43</v>
      </c>
      <c r="F4" s="19" t="s">
        <v>46</v>
      </c>
      <c r="G4" s="19" t="s">
        <v>47</v>
      </c>
      <c r="H4" s="20" t="s">
        <v>25</v>
      </c>
      <c r="I4" s="21"/>
      <c r="J4" s="22"/>
      <c r="K4" s="23">
        <f>Twirling_Solo_F1B_Cadet_Intermediate[[#This Row],[Judge 1
Tamara Beljak]]-J4</f>
        <v>0</v>
      </c>
      <c r="L4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Row],[Category]],Twirling_Solo_F1B_Cadet_Intermediate[J1 TOTAL],"&gt;"&amp;Twirling_Solo_F1B_Cadet_Intermediate[[#This Row],[J1 TOTAL]])+1</f>
        <v>1</v>
      </c>
      <c r="M4" s="21">
        <v>18</v>
      </c>
      <c r="N4" s="22">
        <v>0.7</v>
      </c>
      <c r="O4" s="23">
        <f>Twirling_Solo_F1B_Cadet_Intermediate[[#This Row],[Judge 2
Tihomir Bendelja]]-Twirling_Solo_F1B_Cadet_Intermediate[[#This Row],[J2 (-)]]</f>
        <v>17.3</v>
      </c>
      <c r="P4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Row],[Category]],Twirling_Solo_F1B_Cadet_Intermediate[J2 TOTAL],"&gt;"&amp;Twirling_Solo_F1B_Cadet_Intermediate[[#This Row],[J2 TOTAL]])+1</f>
        <v>3</v>
      </c>
      <c r="Q4" s="21">
        <v>18.3</v>
      </c>
      <c r="R4" s="22">
        <v>0.7</v>
      </c>
      <c r="S4" s="23">
        <f>Twirling_Solo_F1B_Cadet_Intermediate[[#This Row],[Judge 3
Tea Softić]]-R4</f>
        <v>17.600000000000001</v>
      </c>
      <c r="T4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Row],[Category]],Twirling_Solo_F1B_Cadet_Intermediate[J3 TOTAL],"&gt;"&amp;Twirling_Solo_F1B_Cadet_Intermediate[[#This Row],[J3 TOTAL]])+1</f>
        <v>3</v>
      </c>
      <c r="U4" s="21"/>
      <c r="V4" s="22"/>
      <c r="W4" s="23">
        <f>Twirling_Solo_F1B_Cadet_Intermediate[[#This Row],[Judge 4
Bernard Barač]]-V4</f>
        <v>0</v>
      </c>
      <c r="X4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Row],[Category]],Twirling_Solo_F1B_Cadet_Intermediate[J4 TOTAL],"&gt;"&amp;Twirling_Solo_F1B_Cadet_Intermediate[[#This Row],[J4 TOTAL]])+1</f>
        <v>1</v>
      </c>
      <c r="Y4" s="21"/>
      <c r="Z4" s="22"/>
      <c r="AA4" s="23">
        <f>Twirling_Solo_F1B_Cadet_Intermediate[[#This Row],[Judge 5
Barbara Novina]]-Y4</f>
        <v>0</v>
      </c>
      <c r="AB4" s="24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Row],[Category]],Twirling_Solo_F1B_Cadet_Intermediate[J5 TOTAL],"&gt;"&amp;Twirling_Solo_F1B_Cadet_Intermediate[[#This Row],[J5 TOTAL]])+1</f>
        <v>1</v>
      </c>
      <c r="AC4" s="25">
        <f>SUM(Twirling_Solo_F1B_Cadet_Intermediate[[#This Row],[J1 TOTAL]]+Twirling_Solo_F1B_Cadet_Intermediate[[#This Row],[J2 TOTAL]]+Twirling_Solo_F1B_Cadet_Intermediate[[#This Row],[J3 TOTAL]]+Twirling_Solo_F1B_Cadet_Intermediate[[#This Row],[J4 TOTAL]])+Twirling_Solo_F1B_Cadet_Intermediate[[#This Row],[J5 TOTAL]]</f>
        <v>34.900000000000006</v>
      </c>
      <c r="AD4" s="25"/>
      <c r="AE4" s="25"/>
      <c r="AF4" s="25">
        <f>SUM(Twirling_Solo_F1B_Cadet_Intermediate[[#This Row],[Total]]-Twirling_Solo_F1B_Cadet_Intermediate[[#This Row],[Low]]-Twirling_Solo_F1B_Cadet_Intermediate[[#This Row],[High]])</f>
        <v>34.900000000000006</v>
      </c>
      <c r="AG4" s="25">
        <f>AVERAGE(I4,M4,Q4,U4,Y4)</f>
        <v>18.149999999999999</v>
      </c>
      <c r="AH4" s="26">
        <f>Twirling_Solo_F1B_Cadet_Intermediate[[#This Row],[Final Total]]</f>
        <v>34.900000000000006</v>
      </c>
      <c r="AI4" s="28">
        <f>COUNTIFS(Twirling_Solo_F1B_Cadet_Intermediate[Age
Division],Twirling_Solo_F1B_Cadet_Intermediate[[#This Row],[Age
Division]],Twirling_Solo_F1B_Cadet_Intermediate[Category],Twirling_Solo_F1B_Cadet_Intermediate[[#This Row],[Category]],Twirling_Solo_F1B_Cadet_Intermediate[FINAL SCORE],"&gt;"&amp;Twirling_Solo_F1B_Cadet_Intermediate[[#This Row],[FINAL SCORE]])+1</f>
        <v>3</v>
      </c>
      <c r="AJ4" s="18" t="s">
        <v>33</v>
      </c>
    </row>
  </sheetData>
  <sheetProtection algorithmName="SHA-512" hashValue="Ph9Gz/scUrlcYU3u59C6ZIozxgEcnix2k7r9Nz56PNc3YydGXRs/uqEkuY+tYFr+lAtPaCaMCPzIDEM5Bneigg==" saltValue="VvaCjy5wgX98scGu2ZSCt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7F9D9-5638-462D-B68C-F9CB7B83B9AE}">
  <sheetPr codeName="Sheet6"/>
  <dimension ref="A1:BC7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.21875" style="29" bestFit="1" customWidth="1"/>
    <col min="4" max="4" width="9.6640625" style="30" bestFit="1" customWidth="1"/>
    <col min="5" max="5" width="8.44140625" style="30" bestFit="1" customWidth="1"/>
    <col min="6" max="6" width="15.77734375" style="20" bestFit="1" customWidth="1"/>
    <col min="7" max="7" width="43.33203125" style="20" bestFit="1" customWidth="1"/>
    <col min="8" max="8" width="9.6640625" style="20" bestFit="1" customWidth="1"/>
    <col min="9" max="12" width="9.109375" style="20" customWidth="1"/>
    <col min="13" max="20" width="9.109375" style="20" hidden="1" customWidth="1"/>
    <col min="21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13</v>
      </c>
      <c r="B2" s="19">
        <v>1</v>
      </c>
      <c r="C2" s="19" t="s">
        <v>42</v>
      </c>
      <c r="D2" s="19" t="s">
        <v>27</v>
      </c>
      <c r="E2" s="19" t="s">
        <v>56</v>
      </c>
      <c r="F2" s="19" t="s">
        <v>58</v>
      </c>
      <c r="G2" s="19" t="s">
        <v>49</v>
      </c>
      <c r="H2" s="20" t="s">
        <v>25</v>
      </c>
      <c r="I2" s="21">
        <v>29</v>
      </c>
      <c r="J2" s="22">
        <v>0.2</v>
      </c>
      <c r="K2" s="23">
        <f>Twirling_Solo_F1B_Junior_Advanced[[#This Row],[Judge 1
Tamara Beljak]]-J2</f>
        <v>28.8</v>
      </c>
      <c r="L2" s="24">
        <f>COUNTIFS(Twirling_Solo_F1B_Junior_Advanced[Age
Division],Twirling_Solo_F1B_Junior_Advanced[[#This Row],[Age
Division]],Twirling_Solo_F1B_Junior_Advanced[Category],Twirling_Solo_F1B_Junior_Advanced[[#This Row],[Category]],Twirling_Solo_F1B_Junior_Advanced[J1 TOTAL],"&gt;"&amp;Twirling_Solo_F1B_Junior_Advanced[[#This Row],[J1 TOTAL]])+1</f>
        <v>1</v>
      </c>
      <c r="M2" s="21"/>
      <c r="N2" s="22"/>
      <c r="O2" s="23">
        <f>Twirling_Solo_F1B_Junior_Advanced[[#This Row],[Judge 2
Tihomir Bendelja]]-Twirling_Solo_F1B_Junior_Advanced[[#This Row],[J2 (-)]]</f>
        <v>0</v>
      </c>
      <c r="P2" s="24">
        <f>COUNTIFS(Twirling_Solo_F1B_Junior_Advanced[Age
Division],Twirling_Solo_F1B_Junior_Advanced[[#This Row],[Age
Division]],Twirling_Solo_F1B_Junior_Advanced[Category],Twirling_Solo_F1B_Junior_Advanced[[#This Row],[Category]],Twirling_Solo_F1B_Junior_Advanced[J2 TOTAL],"&gt;"&amp;Twirling_Solo_F1B_Junior_Advanced[[#This Row],[J2 TOTAL]])+1</f>
        <v>1</v>
      </c>
      <c r="Q2" s="21"/>
      <c r="R2" s="22"/>
      <c r="S2" s="23">
        <f>Twirling_Solo_F1B_Junior_Advanced[[#This Row],[Judge 3
Tea Softić]]-R2</f>
        <v>0</v>
      </c>
      <c r="T2" s="24">
        <f>COUNTIFS(Twirling_Solo_F1B_Junior_Advanced[Age
Division],Twirling_Solo_F1B_Junior_Advanced[[#This Row],[Age
Division]],Twirling_Solo_F1B_Junior_Advanced[Category],Twirling_Solo_F1B_Junior_Advanced[[#This Row],[Category]],Twirling_Solo_F1B_Junior_Advanced[J3 TOTAL],"&gt;"&amp;Twirling_Solo_F1B_Junior_Advanced[[#This Row],[J3 TOTAL]])+1</f>
        <v>1</v>
      </c>
      <c r="U2" s="21">
        <v>27.6</v>
      </c>
      <c r="V2" s="22">
        <v>0.2</v>
      </c>
      <c r="W2" s="23">
        <f>Twirling_Solo_F1B_Junior_Advanced[[#This Row],[Judge 4
Bernard Barač]]-V2</f>
        <v>27.400000000000002</v>
      </c>
      <c r="X2" s="24">
        <f>COUNTIFS(Twirling_Solo_F1B_Junior_Advanced[Age
Division],Twirling_Solo_F1B_Junior_Advanced[[#This Row],[Age
Division]],Twirling_Solo_F1B_Junior_Advanced[Category],Twirling_Solo_F1B_Junior_Advanced[[#This Row],[Category]],Twirling_Solo_F1B_Junior_Advanced[J4 TOTAL],"&gt;"&amp;Twirling_Solo_F1B_Junior_Advanced[[#This Row],[J4 TOTAL]])+1</f>
        <v>2</v>
      </c>
      <c r="Y2" s="21">
        <v>26.5</v>
      </c>
      <c r="Z2" s="22">
        <v>0.2</v>
      </c>
      <c r="AA2" s="23">
        <f>Twirling_Solo_F1B_Junior_Advanced[[#This Row],[Judge 5
Barbara Novina]]-Z2</f>
        <v>26.3</v>
      </c>
      <c r="AB2" s="24">
        <f>COUNTIFS(Twirling_Solo_F1B_Junior_Advanced[Age
Division],Twirling_Solo_F1B_Junior_Advanced[[#This Row],[Age
Division]],Twirling_Solo_F1B_Junior_Advanced[Category],Twirling_Solo_F1B_Junior_Advanced[[#This Row],[Category]],Twirling_Solo_F1B_Junior_Advanced[J5 TOTAL],"&gt;"&amp;Twirling_Solo_F1B_Junior_Advanced[[#This Row],[J5 TOTAL]])+1</f>
        <v>1</v>
      </c>
      <c r="AC2" s="25">
        <f>SUM(Twirling_Solo_F1B_Junior_Advanced[[#This Row],[J1 TOTAL]]+Twirling_Solo_F1B_Junior_Advanced[[#This Row],[J2 TOTAL]]+Twirling_Solo_F1B_Junior_Advanced[[#This Row],[J3 TOTAL]]+Twirling_Solo_F1B_Junior_Advanced[[#This Row],[J4 TOTAL]])+Twirling_Solo_F1B_Junior_Advanced[[#This Row],[J5 TOTAL]]</f>
        <v>82.5</v>
      </c>
      <c r="AD2" s="25"/>
      <c r="AE2" s="25"/>
      <c r="AF2" s="25">
        <f>SUM(Twirling_Solo_F1B_Junior_Advanced[[#This Row],[Total]]-Twirling_Solo_F1B_Junior_Advanced[[#This Row],[Low]]-Twirling_Solo_F1B_Junior_Advanced[[#This Row],[High]])</f>
        <v>82.5</v>
      </c>
      <c r="AG2" s="25">
        <f t="shared" ref="AG2:AG7" si="0">AVERAGE(I2,M2,Q2,U2,Y2)</f>
        <v>27.7</v>
      </c>
      <c r="AH2" s="26">
        <f>Twirling_Solo_F1B_Junior_Advanced[[#This Row],[Final Total]]</f>
        <v>82.5</v>
      </c>
      <c r="AI2" s="28">
        <f>COUNTIFS(Twirling_Solo_F1B_Junior_Advanced[Age
Division],Twirling_Solo_F1B_Junior_Advanced[[#This Row],[Age
Division]],Twirling_Solo_F1B_Junior_Advanced[Category],Twirling_Solo_F1B_Junior_Advanced[[#This Row],[Category]],Twirling_Solo_F1B_Junior_Advanced[FINAL SCORE],"&gt;"&amp;Twirling_Solo_F1B_Junior_Advanced[[#This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11</v>
      </c>
      <c r="B3" s="19">
        <v>1</v>
      </c>
      <c r="C3" s="19" t="s">
        <v>42</v>
      </c>
      <c r="D3" s="19" t="s">
        <v>27</v>
      </c>
      <c r="E3" s="19" t="s">
        <v>56</v>
      </c>
      <c r="F3" s="19" t="s">
        <v>59</v>
      </c>
      <c r="G3" s="19" t="s">
        <v>49</v>
      </c>
      <c r="H3" s="20" t="s">
        <v>25</v>
      </c>
      <c r="I3" s="21">
        <v>28.7</v>
      </c>
      <c r="J3" s="22">
        <v>0.1</v>
      </c>
      <c r="K3" s="23">
        <f>Twirling_Solo_F1B_Junior_Advanced[[#This Row],[Judge 1
Tamara Beljak]]-J3</f>
        <v>28.599999999999998</v>
      </c>
      <c r="L3" s="24">
        <f>COUNTIFS(Twirling_Solo_F1B_Junior_Advanced[Age
Division],Twirling_Solo_F1B_Junior_Advanced[[#This Row],[Age
Division]],Twirling_Solo_F1B_Junior_Advanced[Category],Twirling_Solo_F1B_Junior_Advanced[[#This Row],[Category]],Twirling_Solo_F1B_Junior_Advanced[J1 TOTAL],"&gt;"&amp;Twirling_Solo_F1B_Junior_Advanced[[#This Row],[J1 TOTAL]])+1</f>
        <v>2</v>
      </c>
      <c r="M3" s="21"/>
      <c r="N3" s="22"/>
      <c r="O3" s="23">
        <f>Twirling_Solo_F1B_Junior_Advanced[[#This Row],[Judge 2
Tihomir Bendelja]]-Twirling_Solo_F1B_Junior_Advanced[[#This Row],[J2 (-)]]</f>
        <v>0</v>
      </c>
      <c r="P3" s="24">
        <f>COUNTIFS(Twirling_Solo_F1B_Junior_Advanced[Age
Division],Twirling_Solo_F1B_Junior_Advanced[[#This Row],[Age
Division]],Twirling_Solo_F1B_Junior_Advanced[Category],Twirling_Solo_F1B_Junior_Advanced[[#This Row],[Category]],Twirling_Solo_F1B_Junior_Advanced[J2 TOTAL],"&gt;"&amp;Twirling_Solo_F1B_Junior_Advanced[[#This Row],[J2 TOTAL]])+1</f>
        <v>1</v>
      </c>
      <c r="Q3" s="21"/>
      <c r="R3" s="22"/>
      <c r="S3" s="23">
        <f>Twirling_Solo_F1B_Junior_Advanced[[#This Row],[Judge 3
Tea Softić]]-R3</f>
        <v>0</v>
      </c>
      <c r="T3" s="24">
        <f>COUNTIFS(Twirling_Solo_F1B_Junior_Advanced[Age
Division],Twirling_Solo_F1B_Junior_Advanced[[#This Row],[Age
Division]],Twirling_Solo_F1B_Junior_Advanced[Category],Twirling_Solo_F1B_Junior_Advanced[[#This Row],[Category]],Twirling_Solo_F1B_Junior_Advanced[J3 TOTAL],"&gt;"&amp;Twirling_Solo_F1B_Junior_Advanced[[#This Row],[J3 TOTAL]])+1</f>
        <v>1</v>
      </c>
      <c r="U3" s="21">
        <v>27.7</v>
      </c>
      <c r="V3" s="22">
        <v>0.1</v>
      </c>
      <c r="W3" s="23">
        <f>Twirling_Solo_F1B_Junior_Advanced[[#This Row],[Judge 4
Bernard Barač]]-V3</f>
        <v>27.599999999999998</v>
      </c>
      <c r="X3" s="24">
        <f>COUNTIFS(Twirling_Solo_F1B_Junior_Advanced[Age
Division],Twirling_Solo_F1B_Junior_Advanced[[#This Row],[Age
Division]],Twirling_Solo_F1B_Junior_Advanced[Category],Twirling_Solo_F1B_Junior_Advanced[[#This Row],[Category]],Twirling_Solo_F1B_Junior_Advanced[J4 TOTAL],"&gt;"&amp;Twirling_Solo_F1B_Junior_Advanced[[#This Row],[J4 TOTAL]])+1</f>
        <v>1</v>
      </c>
      <c r="Y3" s="21">
        <v>26</v>
      </c>
      <c r="Z3" s="22">
        <v>0.1</v>
      </c>
      <c r="AA3" s="23">
        <f>Twirling_Solo_F1B_Junior_Advanced[[#This Row],[Judge 5
Barbara Novina]]-Z3</f>
        <v>25.9</v>
      </c>
      <c r="AB3" s="24">
        <f>COUNTIFS(Twirling_Solo_F1B_Junior_Advanced[Age
Division],Twirling_Solo_F1B_Junior_Advanced[[#This Row],[Age
Division]],Twirling_Solo_F1B_Junior_Advanced[Category],Twirling_Solo_F1B_Junior_Advanced[[#This Row],[Category]],Twirling_Solo_F1B_Junior_Advanced[J5 TOTAL],"&gt;"&amp;Twirling_Solo_F1B_Junior_Advanced[[#This Row],[J5 TOTAL]])+1</f>
        <v>2</v>
      </c>
      <c r="AC3" s="25">
        <f>SUM(Twirling_Solo_F1B_Junior_Advanced[[#This Row],[J1 TOTAL]]+Twirling_Solo_F1B_Junior_Advanced[[#This Row],[J2 TOTAL]]+Twirling_Solo_F1B_Junior_Advanced[[#This Row],[J3 TOTAL]]+Twirling_Solo_F1B_Junior_Advanced[[#This Row],[J4 TOTAL]])+Twirling_Solo_F1B_Junior_Advanced[[#This Row],[J5 TOTAL]]</f>
        <v>82.1</v>
      </c>
      <c r="AD3" s="25"/>
      <c r="AE3" s="25"/>
      <c r="AF3" s="25">
        <f>SUM(Twirling_Solo_F1B_Junior_Advanced[[#This Row],[Total]]-Twirling_Solo_F1B_Junior_Advanced[[#This Row],[Low]]-Twirling_Solo_F1B_Junior_Advanced[[#This Row],[High]])</f>
        <v>82.1</v>
      </c>
      <c r="AG3" s="25">
        <f t="shared" si="0"/>
        <v>27.466666666666669</v>
      </c>
      <c r="AH3" s="26">
        <f>Twirling_Solo_F1B_Junior_Advanced[[#This Row],[Final Total]]</f>
        <v>82.1</v>
      </c>
      <c r="AI3" s="27">
        <f>COUNTIFS(Twirling_Solo_F1B_Junior_Advanced[Age
Division],Twirling_Solo_F1B_Junior_Advanced[[#This Row],[Age
Division]],Twirling_Solo_F1B_Junior_Advanced[Category],Twirling_Solo_F1B_Junior_Advanced[[#This Row],[Category]],Twirling_Solo_F1B_Junior_Advanced[FINAL SCORE],"&gt;"&amp;Twirling_Solo_F1B_Junior_Advanced[[#This Row],[FINAL SCORE]])+1</f>
        <v>2</v>
      </c>
      <c r="AJ3" s="18" t="s">
        <v>33</v>
      </c>
    </row>
    <row r="4" spans="1:55" ht="15.6" x14ac:dyDescent="0.3">
      <c r="A4" s="18">
        <v>17</v>
      </c>
      <c r="B4" s="19">
        <v>1</v>
      </c>
      <c r="C4" s="19" t="s">
        <v>42</v>
      </c>
      <c r="D4" s="19" t="s">
        <v>27</v>
      </c>
      <c r="E4" s="19" t="s">
        <v>56</v>
      </c>
      <c r="F4" s="19" t="s">
        <v>68</v>
      </c>
      <c r="G4" s="19" t="s">
        <v>47</v>
      </c>
      <c r="H4" s="20" t="s">
        <v>25</v>
      </c>
      <c r="I4" s="21">
        <v>25.8</v>
      </c>
      <c r="J4" s="22">
        <v>0.1</v>
      </c>
      <c r="K4" s="23">
        <f>Twirling_Solo_F1B_Junior_Advanced[[#This Row],[Judge 1
Tamara Beljak]]-J4</f>
        <v>25.7</v>
      </c>
      <c r="L4" s="24">
        <f>COUNTIFS(Twirling_Solo_F1B_Junior_Advanced[Age
Division],Twirling_Solo_F1B_Junior_Advanced[[#This Row],[Age
Division]],Twirling_Solo_F1B_Junior_Advanced[Category],Twirling_Solo_F1B_Junior_Advanced[[#This Row],[Category]],Twirling_Solo_F1B_Junior_Advanced[J1 TOTAL],"&gt;"&amp;Twirling_Solo_F1B_Junior_Advanced[[#This Row],[J1 TOTAL]])+1</f>
        <v>3</v>
      </c>
      <c r="M4" s="21"/>
      <c r="N4" s="22"/>
      <c r="O4" s="23">
        <f>Twirling_Solo_F1B_Junior_Advanced[[#This Row],[Judge 2
Tihomir Bendelja]]-Twirling_Solo_F1B_Junior_Advanced[[#This Row],[J2 (-)]]</f>
        <v>0</v>
      </c>
      <c r="P4" s="24">
        <f>COUNTIFS(Twirling_Solo_F1B_Junior_Advanced[Age
Division],Twirling_Solo_F1B_Junior_Advanced[[#This Row],[Age
Division]],Twirling_Solo_F1B_Junior_Advanced[Category],Twirling_Solo_F1B_Junior_Advanced[[#This Row],[Category]],Twirling_Solo_F1B_Junior_Advanced[J2 TOTAL],"&gt;"&amp;Twirling_Solo_F1B_Junior_Advanced[[#This Row],[J2 TOTAL]])+1</f>
        <v>1</v>
      </c>
      <c r="Q4" s="21"/>
      <c r="R4" s="22"/>
      <c r="S4" s="23">
        <f>Twirling_Solo_F1B_Junior_Advanced[[#This Row],[Judge 3
Tea Softić]]-R4</f>
        <v>0</v>
      </c>
      <c r="T4" s="24">
        <f>COUNTIFS(Twirling_Solo_F1B_Junior_Advanced[Age
Division],Twirling_Solo_F1B_Junior_Advanced[[#This Row],[Age
Division]],Twirling_Solo_F1B_Junior_Advanced[Category],Twirling_Solo_F1B_Junior_Advanced[[#This Row],[Category]],Twirling_Solo_F1B_Junior_Advanced[J3 TOTAL],"&gt;"&amp;Twirling_Solo_F1B_Junior_Advanced[[#This Row],[J3 TOTAL]])+1</f>
        <v>1</v>
      </c>
      <c r="U4" s="21">
        <v>26.9</v>
      </c>
      <c r="V4" s="22">
        <v>0.1</v>
      </c>
      <c r="W4" s="23">
        <f>Twirling_Solo_F1B_Junior_Advanced[[#This Row],[Judge 4
Bernard Barač]]-V4</f>
        <v>26.799999999999997</v>
      </c>
      <c r="X4" s="24">
        <f>COUNTIFS(Twirling_Solo_F1B_Junior_Advanced[Age
Division],Twirling_Solo_F1B_Junior_Advanced[[#This Row],[Age
Division]],Twirling_Solo_F1B_Junior_Advanced[Category],Twirling_Solo_F1B_Junior_Advanced[[#This Row],[Category]],Twirling_Solo_F1B_Junior_Advanced[J4 TOTAL],"&gt;"&amp;Twirling_Solo_F1B_Junior_Advanced[[#This Row],[J4 TOTAL]])+1</f>
        <v>3</v>
      </c>
      <c r="Y4" s="21">
        <v>24.1</v>
      </c>
      <c r="Z4" s="22">
        <v>0.1</v>
      </c>
      <c r="AA4" s="23">
        <f>Twirling_Solo_F1B_Junior_Advanced[[#This Row],[Judge 5
Barbara Novina]]-Z4</f>
        <v>24</v>
      </c>
      <c r="AB4" s="24">
        <f>COUNTIFS(Twirling_Solo_F1B_Junior_Advanced[Age
Division],Twirling_Solo_F1B_Junior_Advanced[[#This Row],[Age
Division]],Twirling_Solo_F1B_Junior_Advanced[Category],Twirling_Solo_F1B_Junior_Advanced[[#This Row],[Category]],Twirling_Solo_F1B_Junior_Advanced[J5 TOTAL],"&gt;"&amp;Twirling_Solo_F1B_Junior_Advanced[[#This Row],[J5 TOTAL]])+1</f>
        <v>3</v>
      </c>
      <c r="AC4" s="25">
        <f>SUM(Twirling_Solo_F1B_Junior_Advanced[[#This Row],[J1 TOTAL]]+Twirling_Solo_F1B_Junior_Advanced[[#This Row],[J2 TOTAL]]+Twirling_Solo_F1B_Junior_Advanced[[#This Row],[J3 TOTAL]]+Twirling_Solo_F1B_Junior_Advanced[[#This Row],[J4 TOTAL]])+Twirling_Solo_F1B_Junior_Advanced[[#This Row],[J5 TOTAL]]</f>
        <v>76.5</v>
      </c>
      <c r="AD4" s="25"/>
      <c r="AE4" s="25"/>
      <c r="AF4" s="25">
        <f>SUM(Twirling_Solo_F1B_Junior_Advanced[[#This Row],[Total]]-Twirling_Solo_F1B_Junior_Advanced[[#This Row],[Low]]-Twirling_Solo_F1B_Junior_Advanced[[#This Row],[High]])</f>
        <v>76.5</v>
      </c>
      <c r="AG4" s="25">
        <f t="shared" si="0"/>
        <v>25.600000000000005</v>
      </c>
      <c r="AH4" s="26">
        <f>Twirling_Solo_F1B_Junior_Advanced[[#This Row],[Final Total]]</f>
        <v>76.5</v>
      </c>
      <c r="AI4" s="28">
        <f>COUNTIFS(Twirling_Solo_F1B_Junior_Advanced[Age
Division],Twirling_Solo_F1B_Junior_Advanced[[#This Row],[Age
Division]],Twirling_Solo_F1B_Junior_Advanced[Category],Twirling_Solo_F1B_Junior_Advanced[[#This Row],[Category]],Twirling_Solo_F1B_Junior_Advanced[FINAL SCORE],"&gt;"&amp;Twirling_Solo_F1B_Junior_Advanced[[#This Row],[FINAL SCORE]])+1</f>
        <v>3</v>
      </c>
      <c r="AJ4" s="18" t="s">
        <v>33</v>
      </c>
    </row>
    <row r="5" spans="1:55" ht="15.6" x14ac:dyDescent="0.3">
      <c r="A5" s="18">
        <v>21</v>
      </c>
      <c r="B5" s="19">
        <v>1</v>
      </c>
      <c r="C5" s="19" t="s">
        <v>42</v>
      </c>
      <c r="D5" s="19" t="s">
        <v>27</v>
      </c>
      <c r="E5" s="19" t="s">
        <v>56</v>
      </c>
      <c r="F5" s="19" t="s">
        <v>57</v>
      </c>
      <c r="G5" s="19" t="s">
        <v>47</v>
      </c>
      <c r="H5" s="20" t="s">
        <v>25</v>
      </c>
      <c r="I5" s="21">
        <v>25.1</v>
      </c>
      <c r="J5" s="22">
        <v>0.3</v>
      </c>
      <c r="K5" s="23">
        <f>Twirling_Solo_F1B_Junior_Advanced[[#This Row],[Judge 1
Tamara Beljak]]-J5</f>
        <v>24.8</v>
      </c>
      <c r="L5" s="24">
        <f>COUNTIFS(Twirling_Solo_F1B_Junior_Advanced[Age
Division],Twirling_Solo_F1B_Junior_Advanced[[#This Row],[Age
Division]],Twirling_Solo_F1B_Junior_Advanced[Category],Twirling_Solo_F1B_Junior_Advanced[[#This Row],[Category]],Twirling_Solo_F1B_Junior_Advanced[J1 TOTAL],"&gt;"&amp;Twirling_Solo_F1B_Junior_Advanced[[#This Row],[J1 TOTAL]])+1</f>
        <v>4</v>
      </c>
      <c r="M5" s="21"/>
      <c r="N5" s="22"/>
      <c r="O5" s="23">
        <f>Twirling_Solo_F1B_Junior_Advanced[[#This Row],[Judge 2
Tihomir Bendelja]]-Twirling_Solo_F1B_Junior_Advanced[[#This Row],[J2 (-)]]</f>
        <v>0</v>
      </c>
      <c r="P5" s="24">
        <f>COUNTIFS(Twirling_Solo_F1B_Junior_Advanced[Age
Division],Twirling_Solo_F1B_Junior_Advanced[[#This Row],[Age
Division]],Twirling_Solo_F1B_Junior_Advanced[Category],Twirling_Solo_F1B_Junior_Advanced[[#This Row],[Category]],Twirling_Solo_F1B_Junior_Advanced[J2 TOTAL],"&gt;"&amp;Twirling_Solo_F1B_Junior_Advanced[[#This Row],[J2 TOTAL]])+1</f>
        <v>1</v>
      </c>
      <c r="Q5" s="21"/>
      <c r="R5" s="22"/>
      <c r="S5" s="23">
        <f>Twirling_Solo_F1B_Junior_Advanced[[#This Row],[Judge 3
Tea Softić]]-R5</f>
        <v>0</v>
      </c>
      <c r="T5" s="24">
        <f>COUNTIFS(Twirling_Solo_F1B_Junior_Advanced[Age
Division],Twirling_Solo_F1B_Junior_Advanced[[#This Row],[Age
Division]],Twirling_Solo_F1B_Junior_Advanced[Category],Twirling_Solo_F1B_Junior_Advanced[[#This Row],[Category]],Twirling_Solo_F1B_Junior_Advanced[J3 TOTAL],"&gt;"&amp;Twirling_Solo_F1B_Junior_Advanced[[#This Row],[J3 TOTAL]])+1</f>
        <v>1</v>
      </c>
      <c r="U5" s="21">
        <v>27</v>
      </c>
      <c r="V5" s="22">
        <v>0.3</v>
      </c>
      <c r="W5" s="23">
        <f>Twirling_Solo_F1B_Junior_Advanced[[#This Row],[Judge 4
Bernard Barač]]-V5</f>
        <v>26.7</v>
      </c>
      <c r="X5" s="24">
        <f>COUNTIFS(Twirling_Solo_F1B_Junior_Advanced[Age
Division],Twirling_Solo_F1B_Junior_Advanced[[#This Row],[Age
Division]],Twirling_Solo_F1B_Junior_Advanced[Category],Twirling_Solo_F1B_Junior_Advanced[[#This Row],[Category]],Twirling_Solo_F1B_Junior_Advanced[J4 TOTAL],"&gt;"&amp;Twirling_Solo_F1B_Junior_Advanced[[#This Row],[J4 TOTAL]])+1</f>
        <v>4</v>
      </c>
      <c r="Y5" s="21">
        <v>23.4</v>
      </c>
      <c r="Z5" s="22">
        <v>0.3</v>
      </c>
      <c r="AA5" s="23">
        <f>Twirling_Solo_F1B_Junior_Advanced[[#This Row],[Judge 5
Barbara Novina]]-Z5</f>
        <v>23.099999999999998</v>
      </c>
      <c r="AB5" s="24">
        <f>COUNTIFS(Twirling_Solo_F1B_Junior_Advanced[Age
Division],Twirling_Solo_F1B_Junior_Advanced[[#This Row],[Age
Division]],Twirling_Solo_F1B_Junior_Advanced[Category],Twirling_Solo_F1B_Junior_Advanced[[#This Row],[Category]],Twirling_Solo_F1B_Junior_Advanced[J5 TOTAL],"&gt;"&amp;Twirling_Solo_F1B_Junior_Advanced[[#This Row],[J5 TOTAL]])+1</f>
        <v>4</v>
      </c>
      <c r="AC5" s="25">
        <f>SUM(Twirling_Solo_F1B_Junior_Advanced[[#This Row],[J1 TOTAL]]+Twirling_Solo_F1B_Junior_Advanced[[#This Row],[J2 TOTAL]]+Twirling_Solo_F1B_Junior_Advanced[[#This Row],[J3 TOTAL]]+Twirling_Solo_F1B_Junior_Advanced[[#This Row],[J4 TOTAL]])+Twirling_Solo_F1B_Junior_Advanced[[#This Row],[J5 TOTAL]]</f>
        <v>74.599999999999994</v>
      </c>
      <c r="AD5" s="25"/>
      <c r="AE5" s="25"/>
      <c r="AF5" s="25">
        <f>SUM(Twirling_Solo_F1B_Junior_Advanced[[#This Row],[Total]]-Twirling_Solo_F1B_Junior_Advanced[[#This Row],[Low]]-Twirling_Solo_F1B_Junior_Advanced[[#This Row],[High]])</f>
        <v>74.599999999999994</v>
      </c>
      <c r="AG5" s="25">
        <f t="shared" si="0"/>
        <v>25.166666666666668</v>
      </c>
      <c r="AH5" s="26">
        <f>Twirling_Solo_F1B_Junior_Advanced[[#This Row],[Final Total]]</f>
        <v>74.599999999999994</v>
      </c>
      <c r="AI5" s="28">
        <f>COUNTIFS(Twirling_Solo_F1B_Junior_Advanced[Age
Division],Twirling_Solo_F1B_Junior_Advanced[[#This Row],[Age
Division]],Twirling_Solo_F1B_Junior_Advanced[Category],Twirling_Solo_F1B_Junior_Advanced[[#This Row],[Category]],Twirling_Solo_F1B_Junior_Advanced[FINAL SCORE],"&gt;"&amp;Twirling_Solo_F1B_Junior_Advanced[[#This Row],[FINAL SCORE]])+1</f>
        <v>4</v>
      </c>
      <c r="AJ5" s="18" t="s">
        <v>33</v>
      </c>
    </row>
    <row r="6" spans="1:55" ht="15.6" x14ac:dyDescent="0.3">
      <c r="A6" s="18">
        <v>19</v>
      </c>
      <c r="B6" s="19">
        <v>1</v>
      </c>
      <c r="C6" s="19" t="s">
        <v>42</v>
      </c>
      <c r="D6" s="19" t="s">
        <v>27</v>
      </c>
      <c r="E6" s="19" t="s">
        <v>56</v>
      </c>
      <c r="F6" s="19" t="s">
        <v>50</v>
      </c>
      <c r="G6" s="19" t="s">
        <v>49</v>
      </c>
      <c r="H6" s="20" t="s">
        <v>25</v>
      </c>
      <c r="I6" s="21">
        <v>22.4</v>
      </c>
      <c r="J6" s="22">
        <v>0.1</v>
      </c>
      <c r="K6" s="23">
        <f>Twirling_Solo_F1B_Junior_Advanced[[#This Row],[Judge 1
Tamara Beljak]]-J6</f>
        <v>22.299999999999997</v>
      </c>
      <c r="L6" s="24">
        <f>COUNTIFS(Twirling_Solo_F1B_Junior_Advanced[Age
Division],Twirling_Solo_F1B_Junior_Advanced[[#This Row],[Age
Division]],Twirling_Solo_F1B_Junior_Advanced[Category],Twirling_Solo_F1B_Junior_Advanced[[#This Row],[Category]],Twirling_Solo_F1B_Junior_Advanced[J1 TOTAL],"&gt;"&amp;Twirling_Solo_F1B_Junior_Advanced[[#This Row],[J1 TOTAL]])+1</f>
        <v>5</v>
      </c>
      <c r="M6" s="21"/>
      <c r="N6" s="22"/>
      <c r="O6" s="23">
        <f>Twirling_Solo_F1B_Junior_Advanced[[#This Row],[Judge 2
Tihomir Bendelja]]-Twirling_Solo_F1B_Junior_Advanced[[#This Row],[J2 (-)]]</f>
        <v>0</v>
      </c>
      <c r="P6" s="24">
        <f>COUNTIFS(Twirling_Solo_F1B_Junior_Advanced[Age
Division],Twirling_Solo_F1B_Junior_Advanced[[#This Row],[Age
Division]],Twirling_Solo_F1B_Junior_Advanced[Category],Twirling_Solo_F1B_Junior_Advanced[[#This Row],[Category]],Twirling_Solo_F1B_Junior_Advanced[J2 TOTAL],"&gt;"&amp;Twirling_Solo_F1B_Junior_Advanced[[#This Row],[J2 TOTAL]])+1</f>
        <v>1</v>
      </c>
      <c r="Q6" s="21"/>
      <c r="R6" s="22"/>
      <c r="S6" s="23">
        <f>Twirling_Solo_F1B_Junior_Advanced[[#This Row],[Judge 3
Tea Softić]]-R6</f>
        <v>0</v>
      </c>
      <c r="T6" s="24">
        <f>COUNTIFS(Twirling_Solo_F1B_Junior_Advanced[Age
Division],Twirling_Solo_F1B_Junior_Advanced[[#This Row],[Age
Division]],Twirling_Solo_F1B_Junior_Advanced[Category],Twirling_Solo_F1B_Junior_Advanced[[#This Row],[Category]],Twirling_Solo_F1B_Junior_Advanced[J3 TOTAL],"&gt;"&amp;Twirling_Solo_F1B_Junior_Advanced[[#This Row],[J3 TOTAL]])+1</f>
        <v>1</v>
      </c>
      <c r="U6" s="21">
        <v>22.8</v>
      </c>
      <c r="V6" s="22">
        <v>0.1</v>
      </c>
      <c r="W6" s="23">
        <f>Twirling_Solo_F1B_Junior_Advanced[[#This Row],[Judge 4
Bernard Barač]]-V6</f>
        <v>22.7</v>
      </c>
      <c r="X6" s="24">
        <f>COUNTIFS(Twirling_Solo_F1B_Junior_Advanced[Age
Division],Twirling_Solo_F1B_Junior_Advanced[[#This Row],[Age
Division]],Twirling_Solo_F1B_Junior_Advanced[Category],Twirling_Solo_F1B_Junior_Advanced[[#This Row],[Category]],Twirling_Solo_F1B_Junior_Advanced[J4 TOTAL],"&gt;"&amp;Twirling_Solo_F1B_Junior_Advanced[[#This Row],[J4 TOTAL]])+1</f>
        <v>5</v>
      </c>
      <c r="Y6" s="21">
        <v>22.3</v>
      </c>
      <c r="Z6" s="22">
        <v>0.1</v>
      </c>
      <c r="AA6" s="23">
        <f>Twirling_Solo_F1B_Junior_Advanced[[#This Row],[Judge 5
Barbara Novina]]-Z6</f>
        <v>22.2</v>
      </c>
      <c r="AB6" s="24">
        <f>COUNTIFS(Twirling_Solo_F1B_Junior_Advanced[Age
Division],Twirling_Solo_F1B_Junior_Advanced[[#This Row],[Age
Division]],Twirling_Solo_F1B_Junior_Advanced[Category],Twirling_Solo_F1B_Junior_Advanced[[#This Row],[Category]],Twirling_Solo_F1B_Junior_Advanced[J5 TOTAL],"&gt;"&amp;Twirling_Solo_F1B_Junior_Advanced[[#This Row],[J5 TOTAL]])+1</f>
        <v>5</v>
      </c>
      <c r="AC6" s="25">
        <f>SUM(Twirling_Solo_F1B_Junior_Advanced[[#This Row],[J1 TOTAL]]+Twirling_Solo_F1B_Junior_Advanced[[#This Row],[J2 TOTAL]]+Twirling_Solo_F1B_Junior_Advanced[[#This Row],[J3 TOTAL]]+Twirling_Solo_F1B_Junior_Advanced[[#This Row],[J4 TOTAL]])+Twirling_Solo_F1B_Junior_Advanced[[#This Row],[J5 TOTAL]]</f>
        <v>67.2</v>
      </c>
      <c r="AD6" s="25"/>
      <c r="AE6" s="25"/>
      <c r="AF6" s="25">
        <f>SUM(Twirling_Solo_F1B_Junior_Advanced[[#This Row],[Total]]-Twirling_Solo_F1B_Junior_Advanced[[#This Row],[Low]]-Twirling_Solo_F1B_Junior_Advanced[[#This Row],[High]])</f>
        <v>67.2</v>
      </c>
      <c r="AG6" s="25">
        <f t="shared" si="0"/>
        <v>22.5</v>
      </c>
      <c r="AH6" s="26">
        <f>Twirling_Solo_F1B_Junior_Advanced[[#This Row],[Final Total]]</f>
        <v>67.2</v>
      </c>
      <c r="AI6" s="28">
        <f>COUNTIFS(Twirling_Solo_F1B_Junior_Advanced[Age
Division],Twirling_Solo_F1B_Junior_Advanced[[#This Row],[Age
Division]],Twirling_Solo_F1B_Junior_Advanced[Category],Twirling_Solo_F1B_Junior_Advanced[[#This Row],[Category]],Twirling_Solo_F1B_Junior_Advanced[FINAL SCORE],"&gt;"&amp;Twirling_Solo_F1B_Junior_Advanced[[#This Row],[FINAL SCORE]])+1</f>
        <v>5</v>
      </c>
      <c r="AJ6" s="18" t="s">
        <v>33</v>
      </c>
    </row>
    <row r="7" spans="1:55" ht="15.6" x14ac:dyDescent="0.3">
      <c r="A7" s="18">
        <v>15</v>
      </c>
      <c r="B7" s="19">
        <v>1</v>
      </c>
      <c r="C7" s="19" t="s">
        <v>42</v>
      </c>
      <c r="D7" s="19" t="s">
        <v>27</v>
      </c>
      <c r="E7" s="19" t="s">
        <v>56</v>
      </c>
      <c r="F7" s="19" t="s">
        <v>69</v>
      </c>
      <c r="G7" s="19" t="s">
        <v>49</v>
      </c>
      <c r="H7" s="20" t="s">
        <v>25</v>
      </c>
      <c r="I7" s="21">
        <v>21.9</v>
      </c>
      <c r="J7" s="22">
        <v>0.7</v>
      </c>
      <c r="K7" s="23">
        <f>Twirling_Solo_F1B_Junior_Advanced[[#This Row],[Judge 1
Tamara Beljak]]-J7</f>
        <v>21.2</v>
      </c>
      <c r="L7" s="24">
        <f>COUNTIFS(Twirling_Solo_F1B_Junior_Advanced[Age
Division],Twirling_Solo_F1B_Junior_Advanced[[#This Row],[Age
Division]],Twirling_Solo_F1B_Junior_Advanced[Category],Twirling_Solo_F1B_Junior_Advanced[[#This Row],[Category]],Twirling_Solo_F1B_Junior_Advanced[J1 TOTAL],"&gt;"&amp;Twirling_Solo_F1B_Junior_Advanced[[#This Row],[J1 TOTAL]])+1</f>
        <v>6</v>
      </c>
      <c r="M7" s="21"/>
      <c r="N7" s="22"/>
      <c r="O7" s="23">
        <f>Twirling_Solo_F1B_Junior_Advanced[[#This Row],[Judge 2
Tihomir Bendelja]]-Twirling_Solo_F1B_Junior_Advanced[[#This Row],[J2 (-)]]</f>
        <v>0</v>
      </c>
      <c r="P7" s="24">
        <f>COUNTIFS(Twirling_Solo_F1B_Junior_Advanced[Age
Division],Twirling_Solo_F1B_Junior_Advanced[[#This Row],[Age
Division]],Twirling_Solo_F1B_Junior_Advanced[Category],Twirling_Solo_F1B_Junior_Advanced[[#This Row],[Category]],Twirling_Solo_F1B_Junior_Advanced[J2 TOTAL],"&gt;"&amp;Twirling_Solo_F1B_Junior_Advanced[[#This Row],[J2 TOTAL]])+1</f>
        <v>1</v>
      </c>
      <c r="Q7" s="21"/>
      <c r="R7" s="22"/>
      <c r="S7" s="23">
        <f>Twirling_Solo_F1B_Junior_Advanced[[#This Row],[Judge 3
Tea Softić]]-R7</f>
        <v>0</v>
      </c>
      <c r="T7" s="24">
        <f>COUNTIFS(Twirling_Solo_F1B_Junior_Advanced[Age
Division],Twirling_Solo_F1B_Junior_Advanced[[#This Row],[Age
Division]],Twirling_Solo_F1B_Junior_Advanced[Category],Twirling_Solo_F1B_Junior_Advanced[[#This Row],[Category]],Twirling_Solo_F1B_Junior_Advanced[J3 TOTAL],"&gt;"&amp;Twirling_Solo_F1B_Junior_Advanced[[#This Row],[J3 TOTAL]])+1</f>
        <v>1</v>
      </c>
      <c r="U7" s="21">
        <v>22.8</v>
      </c>
      <c r="V7" s="22">
        <v>0.7</v>
      </c>
      <c r="W7" s="23">
        <f>Twirling_Solo_F1B_Junior_Advanced[[#This Row],[Judge 4
Bernard Barač]]-V7</f>
        <v>22.1</v>
      </c>
      <c r="X7" s="24">
        <f>COUNTIFS(Twirling_Solo_F1B_Junior_Advanced[Age
Division],Twirling_Solo_F1B_Junior_Advanced[[#This Row],[Age
Division]],Twirling_Solo_F1B_Junior_Advanced[Category],Twirling_Solo_F1B_Junior_Advanced[[#This Row],[Category]],Twirling_Solo_F1B_Junior_Advanced[J4 TOTAL],"&gt;"&amp;Twirling_Solo_F1B_Junior_Advanced[[#This Row],[J4 TOTAL]])+1</f>
        <v>6</v>
      </c>
      <c r="Y7" s="21">
        <v>21.1</v>
      </c>
      <c r="Z7" s="22">
        <v>0.7</v>
      </c>
      <c r="AA7" s="23">
        <f>Twirling_Solo_F1B_Junior_Advanced[[#This Row],[Judge 5
Barbara Novina]]-Z7</f>
        <v>20.400000000000002</v>
      </c>
      <c r="AB7" s="24">
        <f>COUNTIFS(Twirling_Solo_F1B_Junior_Advanced[Age
Division],Twirling_Solo_F1B_Junior_Advanced[[#This Row],[Age
Division]],Twirling_Solo_F1B_Junior_Advanced[Category],Twirling_Solo_F1B_Junior_Advanced[[#This Row],[Category]],Twirling_Solo_F1B_Junior_Advanced[J5 TOTAL],"&gt;"&amp;Twirling_Solo_F1B_Junior_Advanced[[#This Row],[J5 TOTAL]])+1</f>
        <v>6</v>
      </c>
      <c r="AC7" s="25">
        <f>SUM(Twirling_Solo_F1B_Junior_Advanced[[#This Row],[J1 TOTAL]]+Twirling_Solo_F1B_Junior_Advanced[[#This Row],[J2 TOTAL]]+Twirling_Solo_F1B_Junior_Advanced[[#This Row],[J3 TOTAL]]+Twirling_Solo_F1B_Junior_Advanced[[#This Row],[J4 TOTAL]])+Twirling_Solo_F1B_Junior_Advanced[[#This Row],[J5 TOTAL]]</f>
        <v>63.7</v>
      </c>
      <c r="AD7" s="25"/>
      <c r="AE7" s="25"/>
      <c r="AF7" s="25">
        <f>SUM(Twirling_Solo_F1B_Junior_Advanced[[#This Row],[Total]]-Twirling_Solo_F1B_Junior_Advanced[[#This Row],[Low]]-Twirling_Solo_F1B_Junior_Advanced[[#This Row],[High]])</f>
        <v>63.7</v>
      </c>
      <c r="AG7" s="25">
        <f t="shared" si="0"/>
        <v>21.933333333333337</v>
      </c>
      <c r="AH7" s="26">
        <f>Twirling_Solo_F1B_Junior_Advanced[[#This Row],[Final Total]]</f>
        <v>63.7</v>
      </c>
      <c r="AI7" s="28">
        <f>COUNTIFS(Twirling_Solo_F1B_Junior_Advanced[Age
Division],Twirling_Solo_F1B_Junior_Advanced[[#This Row],[Age
Division]],Twirling_Solo_F1B_Junior_Advanced[Category],Twirling_Solo_F1B_Junior_Advanced[[#This Row],[Category]],Twirling_Solo_F1B_Junior_Advanced[FINAL SCORE],"&gt;"&amp;Twirling_Solo_F1B_Junior_Advanced[[#This Row],[FINAL SCORE]])+1</f>
        <v>6</v>
      </c>
      <c r="AJ7" s="18" t="s">
        <v>33</v>
      </c>
    </row>
  </sheetData>
  <sheetProtection algorithmName="SHA-512" hashValue="bJhkTx4lEZfKy8P/vyul8mjUbTeNjz+xCsGDdUv6aNJxdf/O3owdMf/dns16SutSnwWxkgHHOdfI7Hf76hxKZg==" saltValue="Wv9AW/ybq9Mh5TdslfCpP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9CFB1-FFE3-490D-B5D1-2046C03EC035}">
  <sheetPr codeName="Sheet5"/>
  <dimension ref="A1:BC11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.21875" style="29" bestFit="1" customWidth="1"/>
    <col min="4" max="4" width="9.6640625" style="30" bestFit="1" customWidth="1"/>
    <col min="5" max="5" width="10.5546875" style="30" bestFit="1" customWidth="1"/>
    <col min="6" max="6" width="14.5546875" style="20" bestFit="1" customWidth="1"/>
    <col min="7" max="7" width="43.33203125" style="20" bestFit="1" customWidth="1"/>
    <col min="8" max="8" width="9.6640625" style="20" bestFit="1" customWidth="1"/>
    <col min="9" max="12" width="9.109375" style="20" hidden="1" customWidth="1"/>
    <col min="13" max="20" width="9.109375" style="20" customWidth="1"/>
    <col min="21" max="28" width="9.109375" style="20" hidden="1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22</v>
      </c>
      <c r="B2" s="19">
        <v>2</v>
      </c>
      <c r="C2" s="19" t="s">
        <v>42</v>
      </c>
      <c r="D2" s="19" t="s">
        <v>27</v>
      </c>
      <c r="E2" s="19" t="s">
        <v>43</v>
      </c>
      <c r="F2" s="31" t="s">
        <v>65</v>
      </c>
      <c r="G2" s="19" t="s">
        <v>49</v>
      </c>
      <c r="H2" s="20" t="s">
        <v>25</v>
      </c>
      <c r="I2" s="21"/>
      <c r="J2" s="22"/>
      <c r="K2" s="23">
        <f>Twirling_Solo_F1B_Junior_Intermediate[[#This Row],[Judge 1
Tamara Beljak]]-J2</f>
        <v>0</v>
      </c>
      <c r="L2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Row],[Category]],Twirling_Solo_F1B_Junior_Intermediate[J1 TOTAL],"&gt;"&amp;Twirling_Solo_F1B_Junior_Intermediate[[#This Row],[J1 TOTAL]])+1</f>
        <v>1</v>
      </c>
      <c r="M2" s="21">
        <v>27.4</v>
      </c>
      <c r="N2" s="22">
        <v>0.9</v>
      </c>
      <c r="O2" s="23">
        <f>Twirling_Solo_F1B_Junior_Intermediate[[#This Row],[Judge 2
Tihomir Bendelja]]-Twirling_Solo_F1B_Junior_Intermediate[[#This Row],[J2 (-)]]</f>
        <v>26.5</v>
      </c>
      <c r="P2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Row],[Category]],Twirling_Solo_F1B_Junior_Intermediate[J2 TOTAL],"&gt;"&amp;Twirling_Solo_F1B_Junior_Intermediate[[#This Row],[J2 TOTAL]])+1</f>
        <v>1</v>
      </c>
      <c r="Q2" s="21">
        <v>27.8</v>
      </c>
      <c r="R2" s="22">
        <v>0.9</v>
      </c>
      <c r="S2" s="23">
        <f>Twirling_Solo_F1B_Junior_Intermediate[[#This Row],[Judge 3
Tea Softić]]-R2</f>
        <v>26.900000000000002</v>
      </c>
      <c r="T2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Row],[Category]],Twirling_Solo_F1B_Junior_Intermediate[J3 TOTAL],"&gt;"&amp;Twirling_Solo_F1B_Junior_Intermediate[[#This Row],[J3 TOTAL]])+1</f>
        <v>1</v>
      </c>
      <c r="U2" s="21"/>
      <c r="V2" s="22"/>
      <c r="W2" s="23">
        <f>Twirling_Solo_F1B_Junior_Intermediate[[#This Row],[Judge 4
Bernard Barač]]-V2</f>
        <v>0</v>
      </c>
      <c r="X2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Row],[Category]],Twirling_Solo_F1B_Junior_Intermediate[J4 TOTAL],"&gt;"&amp;Twirling_Solo_F1B_Junior_Intermediate[[#This Row],[J4 TOTAL]])+1</f>
        <v>1</v>
      </c>
      <c r="Y2" s="21"/>
      <c r="Z2" s="22"/>
      <c r="AA2" s="23">
        <f>Twirling_Solo_F1B_Junior_Intermediate[[#This Row],[Judge 5
Barbara Novina]]-Y2</f>
        <v>0</v>
      </c>
      <c r="AB2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Row],[Category]],Twirling_Solo_F1B_Junior_Intermediate[J5 TOTAL],"&gt;"&amp;Twirling_Solo_F1B_Junior_Intermediate[[#This Row],[J5 TOTAL]])+1</f>
        <v>1</v>
      </c>
      <c r="AC2" s="25">
        <f>SUM(Twirling_Solo_F1B_Junior_Intermediate[[#This Row],[J1 TOTAL]]+Twirling_Solo_F1B_Junior_Intermediate[[#This Row],[J2 TOTAL]]+Twirling_Solo_F1B_Junior_Intermediate[[#This Row],[J3 TOTAL]]+Twirling_Solo_F1B_Junior_Intermediate[[#This Row],[J4 TOTAL]])+Twirling_Solo_F1B_Junior_Intermediate[[#This Row],[J5 TOTAL]]</f>
        <v>53.400000000000006</v>
      </c>
      <c r="AD2" s="25"/>
      <c r="AE2" s="25"/>
      <c r="AF2" s="25">
        <f>SUM(Twirling_Solo_F1B_Junior_Intermediate[[#This Row],[Total]]-Twirling_Solo_F1B_Junior_Intermediate[[#This Row],[Low]]-Twirling_Solo_F1B_Junior_Intermediate[[#This Row],[High]])</f>
        <v>53.400000000000006</v>
      </c>
      <c r="AG2" s="25">
        <f t="shared" ref="AG2:AG11" si="0">AVERAGE(I2,M2,Q2,U2,Y2)</f>
        <v>27.6</v>
      </c>
      <c r="AH2" s="26">
        <f>Twirling_Solo_F1B_Junior_Intermediate[[#This Row],[Final Total]]</f>
        <v>53.400000000000006</v>
      </c>
      <c r="AI2" s="28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Row],[Category]],Twirling_Solo_F1B_Junior_Intermediate[FINAL SCORE],"&gt;"&amp;Twirling_Solo_F1B_Junior_Intermediate[[#This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26</v>
      </c>
      <c r="B3" s="19">
        <v>2</v>
      </c>
      <c r="C3" s="19" t="s">
        <v>42</v>
      </c>
      <c r="D3" s="19" t="s">
        <v>27</v>
      </c>
      <c r="E3" s="19" t="s">
        <v>43</v>
      </c>
      <c r="F3" s="31" t="s">
        <v>107</v>
      </c>
      <c r="G3" s="19" t="s">
        <v>32</v>
      </c>
      <c r="H3" s="20" t="s">
        <v>25</v>
      </c>
      <c r="I3" s="21"/>
      <c r="J3" s="22"/>
      <c r="K3" s="23">
        <f>Twirling_Solo_F1B_Junior_Intermediate[[#This Row],[Judge 1
Tamara Beljak]]-J3</f>
        <v>0</v>
      </c>
      <c r="L3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Row],[Category]],Twirling_Solo_F1B_Junior_Intermediate[J1 TOTAL],"&gt;"&amp;Twirling_Solo_F1B_Junior_Intermediate[[#This Row],[J1 TOTAL]])+1</f>
        <v>1</v>
      </c>
      <c r="M3" s="21">
        <v>23.6</v>
      </c>
      <c r="N3" s="22">
        <v>0.8</v>
      </c>
      <c r="O3" s="23">
        <f>Twirling_Solo_F1B_Junior_Intermediate[[#This Row],[Judge 2
Tihomir Bendelja]]-Twirling_Solo_F1B_Junior_Intermediate[[#This Row],[J2 (-)]]</f>
        <v>22.8</v>
      </c>
      <c r="P3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Row],[Category]],Twirling_Solo_F1B_Junior_Intermediate[J2 TOTAL],"&gt;"&amp;Twirling_Solo_F1B_Junior_Intermediate[[#This Row],[J2 TOTAL]])+1</f>
        <v>2</v>
      </c>
      <c r="Q3" s="21">
        <v>26.2</v>
      </c>
      <c r="R3" s="22">
        <v>0.8</v>
      </c>
      <c r="S3" s="23">
        <f>Twirling_Solo_F1B_Junior_Intermediate[[#This Row],[Judge 3
Tea Softić]]-R3</f>
        <v>25.4</v>
      </c>
      <c r="T3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Row],[Category]],Twirling_Solo_F1B_Junior_Intermediate[J3 TOTAL],"&gt;"&amp;Twirling_Solo_F1B_Junior_Intermediate[[#This Row],[J3 TOTAL]])+1</f>
        <v>2</v>
      </c>
      <c r="U3" s="21"/>
      <c r="V3" s="22"/>
      <c r="W3" s="23">
        <f>Twirling_Solo_F1B_Junior_Intermediate[[#This Row],[Judge 4
Bernard Barač]]-V3</f>
        <v>0</v>
      </c>
      <c r="X3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Row],[Category]],Twirling_Solo_F1B_Junior_Intermediate[J4 TOTAL],"&gt;"&amp;Twirling_Solo_F1B_Junior_Intermediate[[#This Row],[J4 TOTAL]])+1</f>
        <v>1</v>
      </c>
      <c r="Y3" s="21"/>
      <c r="Z3" s="22"/>
      <c r="AA3" s="23">
        <f>Twirling_Solo_F1B_Junior_Intermediate[[#This Row],[Judge 5
Barbara Novina]]-Y3</f>
        <v>0</v>
      </c>
      <c r="AB3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Row],[Category]],Twirling_Solo_F1B_Junior_Intermediate[J5 TOTAL],"&gt;"&amp;Twirling_Solo_F1B_Junior_Intermediate[[#This Row],[J5 TOTAL]])+1</f>
        <v>1</v>
      </c>
      <c r="AC3" s="25">
        <f>SUM(Twirling_Solo_F1B_Junior_Intermediate[[#This Row],[J1 TOTAL]]+Twirling_Solo_F1B_Junior_Intermediate[[#This Row],[J2 TOTAL]]+Twirling_Solo_F1B_Junior_Intermediate[[#This Row],[J3 TOTAL]]+Twirling_Solo_F1B_Junior_Intermediate[[#This Row],[J4 TOTAL]])+Twirling_Solo_F1B_Junior_Intermediate[[#This Row],[J5 TOTAL]]</f>
        <v>48.2</v>
      </c>
      <c r="AD3" s="25"/>
      <c r="AE3" s="25"/>
      <c r="AF3" s="25">
        <f>SUM(Twirling_Solo_F1B_Junior_Intermediate[[#This Row],[Total]]-Twirling_Solo_F1B_Junior_Intermediate[[#This Row],[Low]]-Twirling_Solo_F1B_Junior_Intermediate[[#This Row],[High]])</f>
        <v>48.2</v>
      </c>
      <c r="AG3" s="25">
        <f t="shared" si="0"/>
        <v>24.9</v>
      </c>
      <c r="AH3" s="26">
        <f>Twirling_Solo_F1B_Junior_Intermediate[[#This Row],[Final Total]]</f>
        <v>48.2</v>
      </c>
      <c r="AI3" s="28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Row],[Category]],Twirling_Solo_F1B_Junior_Intermediate[FINAL SCORE],"&gt;"&amp;Twirling_Solo_F1B_Junior_Intermediate[[#This Row],[FINAL SCORE]])+1</f>
        <v>2</v>
      </c>
      <c r="AJ3" s="18" t="s">
        <v>33</v>
      </c>
    </row>
    <row r="4" spans="1:55" ht="15.6" x14ac:dyDescent="0.3">
      <c r="A4" s="18">
        <v>34</v>
      </c>
      <c r="B4" s="19">
        <v>2</v>
      </c>
      <c r="C4" s="19" t="s">
        <v>42</v>
      </c>
      <c r="D4" s="19" t="s">
        <v>27</v>
      </c>
      <c r="E4" s="19" t="s">
        <v>43</v>
      </c>
      <c r="F4" s="31" t="s">
        <v>70</v>
      </c>
      <c r="G4" s="19" t="s">
        <v>45</v>
      </c>
      <c r="H4" s="20" t="s">
        <v>25</v>
      </c>
      <c r="I4" s="21"/>
      <c r="J4" s="22"/>
      <c r="K4" s="23">
        <f>Twirling_Solo_F1B_Junior_Intermediate[[#This Row],[Judge 1
Tamara Beljak]]-J4</f>
        <v>0</v>
      </c>
      <c r="L4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Row],[Category]],Twirling_Solo_F1B_Junior_Intermediate[J1 TOTAL],"&gt;"&amp;Twirling_Solo_F1B_Junior_Intermediate[[#This Row],[J1 TOTAL]])+1</f>
        <v>1</v>
      </c>
      <c r="M4" s="21">
        <v>22.7</v>
      </c>
      <c r="N4" s="22">
        <v>0.1</v>
      </c>
      <c r="O4" s="23">
        <f>Twirling_Solo_F1B_Junior_Intermediate[[#This Row],[Judge 2
Tihomir Bendelja]]-Twirling_Solo_F1B_Junior_Intermediate[[#This Row],[J2 (-)]]</f>
        <v>22.599999999999998</v>
      </c>
      <c r="P4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Row],[Category]],Twirling_Solo_F1B_Junior_Intermediate[J2 TOTAL],"&gt;"&amp;Twirling_Solo_F1B_Junior_Intermediate[[#This Row],[J2 TOTAL]])+1</f>
        <v>3</v>
      </c>
      <c r="Q4" s="21">
        <v>23.5</v>
      </c>
      <c r="R4" s="22">
        <v>0.1</v>
      </c>
      <c r="S4" s="23">
        <f>Twirling_Solo_F1B_Junior_Intermediate[[#This Row],[Judge 3
Tea Softić]]-R4</f>
        <v>23.4</v>
      </c>
      <c r="T4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Row],[Category]],Twirling_Solo_F1B_Junior_Intermediate[J3 TOTAL],"&gt;"&amp;Twirling_Solo_F1B_Junior_Intermediate[[#This Row],[J3 TOTAL]])+1</f>
        <v>3</v>
      </c>
      <c r="U4" s="21"/>
      <c r="V4" s="22"/>
      <c r="W4" s="23">
        <f>Twirling_Solo_F1B_Junior_Intermediate[[#This Row],[Judge 4
Bernard Barač]]-V4</f>
        <v>0</v>
      </c>
      <c r="X4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Row],[Category]],Twirling_Solo_F1B_Junior_Intermediate[J4 TOTAL],"&gt;"&amp;Twirling_Solo_F1B_Junior_Intermediate[[#This Row],[J4 TOTAL]])+1</f>
        <v>1</v>
      </c>
      <c r="Y4" s="21"/>
      <c r="Z4" s="22"/>
      <c r="AA4" s="23">
        <f>Twirling_Solo_F1B_Junior_Intermediate[[#This Row],[Judge 5
Barbara Novina]]-Y4</f>
        <v>0</v>
      </c>
      <c r="AB4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Row],[Category]],Twirling_Solo_F1B_Junior_Intermediate[J5 TOTAL],"&gt;"&amp;Twirling_Solo_F1B_Junior_Intermediate[[#This Row],[J5 TOTAL]])+1</f>
        <v>1</v>
      </c>
      <c r="AC4" s="25">
        <f>SUM(Twirling_Solo_F1B_Junior_Intermediate[[#This Row],[J1 TOTAL]]+Twirling_Solo_F1B_Junior_Intermediate[[#This Row],[J2 TOTAL]]+Twirling_Solo_F1B_Junior_Intermediate[[#This Row],[J3 TOTAL]]+Twirling_Solo_F1B_Junior_Intermediate[[#This Row],[J4 TOTAL]])+Twirling_Solo_F1B_Junior_Intermediate[[#This Row],[J5 TOTAL]]</f>
        <v>46</v>
      </c>
      <c r="AD4" s="25"/>
      <c r="AE4" s="25"/>
      <c r="AF4" s="25">
        <f>SUM(Twirling_Solo_F1B_Junior_Intermediate[[#This Row],[Total]]-Twirling_Solo_F1B_Junior_Intermediate[[#This Row],[Low]]-Twirling_Solo_F1B_Junior_Intermediate[[#This Row],[High]])</f>
        <v>46</v>
      </c>
      <c r="AG4" s="25">
        <f t="shared" si="0"/>
        <v>23.1</v>
      </c>
      <c r="AH4" s="26">
        <f>Twirling_Solo_F1B_Junior_Intermediate[[#This Row],[Final Total]]</f>
        <v>46</v>
      </c>
      <c r="AI4" s="28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Row],[Category]],Twirling_Solo_F1B_Junior_Intermediate[FINAL SCORE],"&gt;"&amp;Twirling_Solo_F1B_Junior_Intermediate[[#This Row],[FINAL SCORE]])+1</f>
        <v>3</v>
      </c>
      <c r="AJ4" s="18" t="s">
        <v>33</v>
      </c>
    </row>
    <row r="5" spans="1:55" ht="15.6" x14ac:dyDescent="0.3">
      <c r="A5" s="32">
        <v>30</v>
      </c>
      <c r="B5" s="33">
        <v>2</v>
      </c>
      <c r="C5" s="33" t="s">
        <v>42</v>
      </c>
      <c r="D5" s="33" t="s">
        <v>27</v>
      </c>
      <c r="E5" s="33" t="s">
        <v>43</v>
      </c>
      <c r="F5" s="34" t="s">
        <v>133</v>
      </c>
      <c r="G5" s="33" t="s">
        <v>32</v>
      </c>
      <c r="H5" s="35" t="s">
        <v>25</v>
      </c>
      <c r="I5" s="21"/>
      <c r="J5" s="22"/>
      <c r="K5" s="23">
        <f>Twirling_Solo_F1B_Junior_Intermediate[[#This Row],[Judge 1
Tamara Beljak]]-J5</f>
        <v>0</v>
      </c>
      <c r="L5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Row],[Category]],Twirling_Solo_F1B_Junior_Intermediate[J1 TOTAL],"&gt;"&amp;Twirling_Solo_F1B_Junior_Intermediate[[#This Row],[J1 TOTAL]])+1</f>
        <v>1</v>
      </c>
      <c r="M5" s="21">
        <v>25.1</v>
      </c>
      <c r="N5" s="22">
        <v>3.2</v>
      </c>
      <c r="O5" s="23">
        <f>Twirling_Solo_F1B_Junior_Intermediate[[#This Row],[Judge 2
Tihomir Bendelja]]-Twirling_Solo_F1B_Junior_Intermediate[[#This Row],[J2 (-)]]</f>
        <v>21.900000000000002</v>
      </c>
      <c r="P5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Row],[Category]],Twirling_Solo_F1B_Junior_Intermediate[J2 TOTAL],"&gt;"&amp;Twirling_Solo_F1B_Junior_Intermediate[[#This Row],[J2 TOTAL]])+1</f>
        <v>4</v>
      </c>
      <c r="Q5" s="21">
        <v>25.9</v>
      </c>
      <c r="R5" s="22">
        <v>3.2</v>
      </c>
      <c r="S5" s="23">
        <f>Twirling_Solo_F1B_Junior_Intermediate[[#This Row],[Judge 3
Tea Softić]]-R5</f>
        <v>22.7</v>
      </c>
      <c r="T5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Row],[Category]],Twirling_Solo_F1B_Junior_Intermediate[J3 TOTAL],"&gt;"&amp;Twirling_Solo_F1B_Junior_Intermediate[[#This Row],[J3 TOTAL]])+1</f>
        <v>4</v>
      </c>
      <c r="U5" s="21"/>
      <c r="V5" s="22"/>
      <c r="W5" s="23">
        <f>Twirling_Solo_F1B_Junior_Intermediate[[#This Row],[Judge 4
Bernard Barač]]-V5</f>
        <v>0</v>
      </c>
      <c r="X5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Row],[Category]],Twirling_Solo_F1B_Junior_Intermediate[J4 TOTAL],"&gt;"&amp;Twirling_Solo_F1B_Junior_Intermediate[[#This Row],[J4 TOTAL]])+1</f>
        <v>1</v>
      </c>
      <c r="Y5" s="21"/>
      <c r="Z5" s="22"/>
      <c r="AA5" s="23">
        <f>Twirling_Solo_F1B_Junior_Intermediate[[#This Row],[Judge 5
Barbara Novina]]-Y5</f>
        <v>0</v>
      </c>
      <c r="AB5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Row],[Category]],Twirling_Solo_F1B_Junior_Intermediate[J5 TOTAL],"&gt;"&amp;Twirling_Solo_F1B_Junior_Intermediate[[#This Row],[J5 TOTAL]])+1</f>
        <v>1</v>
      </c>
      <c r="AC5" s="25">
        <f>SUM(Twirling_Solo_F1B_Junior_Intermediate[[#This Row],[J1 TOTAL]]+Twirling_Solo_F1B_Junior_Intermediate[[#This Row],[J2 TOTAL]]+Twirling_Solo_F1B_Junior_Intermediate[[#This Row],[J3 TOTAL]]+Twirling_Solo_F1B_Junior_Intermediate[[#This Row],[J4 TOTAL]])+Twirling_Solo_F1B_Junior_Intermediate[[#This Row],[J5 TOTAL]]</f>
        <v>44.6</v>
      </c>
      <c r="AD5" s="25"/>
      <c r="AE5" s="25"/>
      <c r="AF5" s="25">
        <f>SUM(Twirling_Solo_F1B_Junior_Intermediate[[#This Row],[Total]]-Twirling_Solo_F1B_Junior_Intermediate[[#This Row],[Low]]-Twirling_Solo_F1B_Junior_Intermediate[[#This Row],[High]])</f>
        <v>44.6</v>
      </c>
      <c r="AG5" s="25">
        <f t="shared" si="0"/>
        <v>25.5</v>
      </c>
      <c r="AH5" s="26">
        <f>Twirling_Solo_F1B_Junior_Intermediate[[#This Row],[Final Total]]</f>
        <v>44.6</v>
      </c>
      <c r="AI5" s="28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Row],[Category]],Twirling_Solo_F1B_Junior_Intermediate[FINAL SCORE],"&gt;"&amp;Twirling_Solo_F1B_Junior_Intermediate[[#This Row],[FINAL SCORE]])+1</f>
        <v>4</v>
      </c>
      <c r="AJ5" s="18" t="s">
        <v>33</v>
      </c>
    </row>
    <row r="6" spans="1:55" ht="15.6" x14ac:dyDescent="0.3">
      <c r="A6" s="36">
        <v>20</v>
      </c>
      <c r="B6" s="34">
        <v>2</v>
      </c>
      <c r="C6" s="34" t="s">
        <v>42</v>
      </c>
      <c r="D6" s="34" t="s">
        <v>27</v>
      </c>
      <c r="E6" s="34" t="s">
        <v>43</v>
      </c>
      <c r="F6" s="34" t="s">
        <v>90</v>
      </c>
      <c r="G6" s="34" t="s">
        <v>47</v>
      </c>
      <c r="H6" s="37" t="s">
        <v>25</v>
      </c>
      <c r="I6" s="21"/>
      <c r="J6" s="22"/>
      <c r="K6" s="23">
        <f>Twirling_Solo_F1B_Junior_Intermediate[[#This Row],[Judge 1
Tamara Beljak]]-J6</f>
        <v>0</v>
      </c>
      <c r="L6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Row],[Category]],Twirling_Solo_F1B_Junior_Intermediate[J1 TOTAL],"&gt;"&amp;Twirling_Solo_F1B_Junior_Intermediate[[#This Row],[J1 TOTAL]])+1</f>
        <v>1</v>
      </c>
      <c r="M6" s="38">
        <v>16.100000000000001</v>
      </c>
      <c r="N6" s="39">
        <v>0.6</v>
      </c>
      <c r="O6" s="40">
        <f>Twirling_Solo_F1B_Junior_Intermediate[[#This Row],[Judge 2
Tihomir Bendelja]]-Twirling_Solo_F1B_Junior_Intermediate[[#This Row],[J2 (-)]]</f>
        <v>15.500000000000002</v>
      </c>
      <c r="P6" s="41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Row],[Category]],Twirling_Solo_F1B_Junior_Intermediate[J2 TOTAL],"&gt;"&amp;Twirling_Solo_F1B_Junior_Intermediate[[#This Row],[J2 TOTAL]])+1</f>
        <v>6</v>
      </c>
      <c r="Q6" s="38">
        <v>16</v>
      </c>
      <c r="R6" s="22">
        <v>0.6</v>
      </c>
      <c r="S6" s="23">
        <f>Twirling_Solo_F1B_Junior_Intermediate[[#This Row],[Judge 3
Tea Softić]]-R6</f>
        <v>15.4</v>
      </c>
      <c r="T6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Row],[Category]],Twirling_Solo_F1B_Junior_Intermediate[J3 TOTAL],"&gt;"&amp;Twirling_Solo_F1B_Junior_Intermediate[[#This Row],[J3 TOTAL]])+1</f>
        <v>5</v>
      </c>
      <c r="U6" s="21"/>
      <c r="V6" s="22"/>
      <c r="W6" s="23">
        <f>Twirling_Solo_F1B_Junior_Intermediate[[#This Row],[Judge 4
Bernard Barač]]-V6</f>
        <v>0</v>
      </c>
      <c r="X6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Row],[Category]],Twirling_Solo_F1B_Junior_Intermediate[J4 TOTAL],"&gt;"&amp;Twirling_Solo_F1B_Junior_Intermediate[[#This Row],[J4 TOTAL]])+1</f>
        <v>1</v>
      </c>
      <c r="Y6" s="21"/>
      <c r="Z6" s="22"/>
      <c r="AA6" s="23">
        <f>Twirling_Solo_F1B_Junior_Intermediate[[#This Row],[Judge 5
Barbara Novina]]-Y6</f>
        <v>0</v>
      </c>
      <c r="AB6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Row],[Category]],Twirling_Solo_F1B_Junior_Intermediate[J5 TOTAL],"&gt;"&amp;Twirling_Solo_F1B_Junior_Intermediate[[#This Row],[J5 TOTAL]])+1</f>
        <v>1</v>
      </c>
      <c r="AC6" s="25">
        <f>SUM(Twirling_Solo_F1B_Junior_Intermediate[[#This Row],[J1 TOTAL]]+Twirling_Solo_F1B_Junior_Intermediate[[#This Row],[J2 TOTAL]]+Twirling_Solo_F1B_Junior_Intermediate[[#This Row],[J3 TOTAL]]+Twirling_Solo_F1B_Junior_Intermediate[[#This Row],[J4 TOTAL]])+Twirling_Solo_F1B_Junior_Intermediate[[#This Row],[J5 TOTAL]]</f>
        <v>30.900000000000002</v>
      </c>
      <c r="AD6" s="25"/>
      <c r="AE6" s="25"/>
      <c r="AF6" s="25">
        <f>SUM(Twirling_Solo_F1B_Junior_Intermediate[[#This Row],[Total]]-Twirling_Solo_F1B_Junior_Intermediate[[#This Row],[Low]]-Twirling_Solo_F1B_Junior_Intermediate[[#This Row],[High]])</f>
        <v>30.900000000000002</v>
      </c>
      <c r="AG6" s="25">
        <f t="shared" si="0"/>
        <v>16.05</v>
      </c>
      <c r="AH6" s="26">
        <f>Twirling_Solo_F1B_Junior_Intermediate[[#This Row],[Final Total]]</f>
        <v>30.900000000000002</v>
      </c>
      <c r="AI6" s="28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Row],[Category]],Twirling_Solo_F1B_Junior_Intermediate[FINAL SCORE],"&gt;"&amp;Twirling_Solo_F1B_Junior_Intermediate[[#This Row],[FINAL SCORE]])+1</f>
        <v>5</v>
      </c>
      <c r="AJ6" s="18" t="s">
        <v>33</v>
      </c>
    </row>
    <row r="7" spans="1:55" ht="15.6" x14ac:dyDescent="0.3">
      <c r="A7" s="36">
        <v>28</v>
      </c>
      <c r="B7" s="34">
        <v>2</v>
      </c>
      <c r="C7" s="34" t="s">
        <v>42</v>
      </c>
      <c r="D7" s="34" t="s">
        <v>27</v>
      </c>
      <c r="E7" s="34" t="s">
        <v>43</v>
      </c>
      <c r="F7" s="34" t="s">
        <v>52</v>
      </c>
      <c r="G7" s="34" t="s">
        <v>49</v>
      </c>
      <c r="H7" s="37" t="s">
        <v>25</v>
      </c>
      <c r="I7" s="42"/>
      <c r="J7" s="42"/>
      <c r="K7" s="42">
        <f>Twirling_Solo_F1B_Junior_Intermediate[[#This Row],[Judge 1
Tamara Beljak]]-J7</f>
        <v>0</v>
      </c>
      <c r="L7" s="43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Row],[Category]],Twirling_Solo_F1B_Junior_Intermediate[J1 TOTAL],"&gt;"&amp;Twirling_Solo_F1B_Junior_Intermediate[[#This Row],[J1 TOTAL]])+1</f>
        <v>1</v>
      </c>
      <c r="M7" s="38">
        <v>16.3</v>
      </c>
      <c r="N7" s="39">
        <v>0.7</v>
      </c>
      <c r="O7" s="40">
        <f>Twirling_Solo_F1B_Junior_Intermediate[[#This Row],[Judge 2
Tihomir Bendelja]]-Twirling_Solo_F1B_Junior_Intermediate[[#This Row],[J2 (-)]]</f>
        <v>15.600000000000001</v>
      </c>
      <c r="P7" s="41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Row],[Category]],Twirling_Solo_F1B_Junior_Intermediate[J2 TOTAL],"&gt;"&amp;Twirling_Solo_F1B_Junior_Intermediate[[#This Row],[J2 TOTAL]])+1</f>
        <v>5</v>
      </c>
      <c r="Q7" s="38">
        <v>15.8</v>
      </c>
      <c r="R7" s="44">
        <v>0.7</v>
      </c>
      <c r="S7" s="23">
        <f>Twirling_Solo_F1B_Junior_Intermediate[[#This Row],[Judge 3
Tea Softić]]-R7</f>
        <v>15.100000000000001</v>
      </c>
      <c r="T7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Row],[Category]],Twirling_Solo_F1B_Junior_Intermediate[J3 TOTAL],"&gt;"&amp;Twirling_Solo_F1B_Junior_Intermediate[[#This Row],[J3 TOTAL]])+1</f>
        <v>7</v>
      </c>
      <c r="U7" s="42"/>
      <c r="V7" s="42"/>
      <c r="W7" s="42">
        <f>Twirling_Solo_F1B_Junior_Intermediate[[#This Row],[Judge 4
Bernard Barač]]-V7</f>
        <v>0</v>
      </c>
      <c r="X7" s="43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Row],[Category]],Twirling_Solo_F1B_Junior_Intermediate[J4 TOTAL],"&gt;"&amp;Twirling_Solo_F1B_Junior_Intermediate[[#This Row],[J4 TOTAL]])+1</f>
        <v>1</v>
      </c>
      <c r="Y7" s="42"/>
      <c r="Z7" s="42"/>
      <c r="AA7" s="42">
        <f>Twirling_Solo_F1B_Junior_Intermediate[[#This Row],[Judge 5
Barbara Novina]]-Y7</f>
        <v>0</v>
      </c>
      <c r="AB7" s="43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Row],[Category]],Twirling_Solo_F1B_Junior_Intermediate[J5 TOTAL],"&gt;"&amp;Twirling_Solo_F1B_Junior_Intermediate[[#This Row],[J5 TOTAL]])+1</f>
        <v>1</v>
      </c>
      <c r="AC7" s="42">
        <f>SUM(Twirling_Solo_F1B_Junior_Intermediate[[#This Row],[J1 TOTAL]]+Twirling_Solo_F1B_Junior_Intermediate[[#This Row],[J2 TOTAL]]+Twirling_Solo_F1B_Junior_Intermediate[[#This Row],[J3 TOTAL]]+Twirling_Solo_F1B_Junior_Intermediate[[#This Row],[J4 TOTAL]])+Twirling_Solo_F1B_Junior_Intermediate[[#This Row],[J5 TOTAL]]</f>
        <v>30.700000000000003</v>
      </c>
      <c r="AD7" s="42"/>
      <c r="AE7" s="42"/>
      <c r="AF7" s="42">
        <f>SUM(Twirling_Solo_F1B_Junior_Intermediate[[#This Row],[Total]]-Twirling_Solo_F1B_Junior_Intermediate[[#This Row],[Low]]-Twirling_Solo_F1B_Junior_Intermediate[[#This Row],[High]])</f>
        <v>30.700000000000003</v>
      </c>
      <c r="AG7" s="42">
        <f t="shared" si="0"/>
        <v>16.05</v>
      </c>
      <c r="AH7" s="45">
        <f>Twirling_Solo_F1B_Junior_Intermediate[[#This Row],[Final Total]]</f>
        <v>30.700000000000003</v>
      </c>
      <c r="AI7" s="46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Row],[Category]],Twirling_Solo_F1B_Junior_Intermediate[FINAL SCORE],"&gt;"&amp;Twirling_Solo_F1B_Junior_Intermediate[[#This Row],[FINAL SCORE]])+1</f>
        <v>6</v>
      </c>
      <c r="AJ7" s="18" t="s">
        <v>33</v>
      </c>
    </row>
    <row r="8" spans="1:55" ht="15.6" x14ac:dyDescent="0.3">
      <c r="A8" s="36">
        <v>18</v>
      </c>
      <c r="B8" s="34">
        <v>2</v>
      </c>
      <c r="C8" s="34" t="s">
        <v>42</v>
      </c>
      <c r="D8" s="34" t="s">
        <v>27</v>
      </c>
      <c r="E8" s="34" t="s">
        <v>43</v>
      </c>
      <c r="F8" s="34" t="s">
        <v>131</v>
      </c>
      <c r="G8" s="34" t="s">
        <v>49</v>
      </c>
      <c r="H8" s="37" t="s">
        <v>25</v>
      </c>
      <c r="I8" s="21"/>
      <c r="J8" s="22"/>
      <c r="K8" s="23">
        <f>Twirling_Solo_F1B_Junior_Intermediate[[#This Row],[Judge 1
Tamara Beljak]]-J8</f>
        <v>0</v>
      </c>
      <c r="L8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Row],[Category]],Twirling_Solo_F1B_Junior_Intermediate[J1 TOTAL],"&gt;"&amp;Twirling_Solo_F1B_Junior_Intermediate[[#This Row],[J1 TOTAL]])+1</f>
        <v>1</v>
      </c>
      <c r="M8" s="38">
        <v>16.100000000000001</v>
      </c>
      <c r="N8" s="47">
        <v>0.9</v>
      </c>
      <c r="O8" s="40">
        <f>Twirling_Solo_F1B_Junior_Intermediate[[#This Row],[Judge 2
Tihomir Bendelja]]-Twirling_Solo_F1B_Junior_Intermediate[[#This Row],[J2 (-)]]</f>
        <v>15.200000000000001</v>
      </c>
      <c r="P8" s="41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Row],[Category]],Twirling_Solo_F1B_Junior_Intermediate[J2 TOTAL],"&gt;"&amp;Twirling_Solo_F1B_Junior_Intermediate[[#This Row],[J2 TOTAL]])+1</f>
        <v>7</v>
      </c>
      <c r="Q8" s="38">
        <v>16.3</v>
      </c>
      <c r="R8" s="22">
        <v>0.9</v>
      </c>
      <c r="S8" s="23">
        <f>Twirling_Solo_F1B_Junior_Intermediate[[#This Row],[Judge 3
Tea Softić]]-R8</f>
        <v>15.4</v>
      </c>
      <c r="T8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Row],[Category]],Twirling_Solo_F1B_Junior_Intermediate[J3 TOTAL],"&gt;"&amp;Twirling_Solo_F1B_Junior_Intermediate[[#This Row],[J3 TOTAL]])+1</f>
        <v>5</v>
      </c>
      <c r="U8" s="21"/>
      <c r="V8" s="22"/>
      <c r="W8" s="23">
        <f>Twirling_Solo_F1B_Junior_Intermediate[[#This Row],[Judge 4
Bernard Barač]]-V8</f>
        <v>0</v>
      </c>
      <c r="X8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Row],[Category]],Twirling_Solo_F1B_Junior_Intermediate[J4 TOTAL],"&gt;"&amp;Twirling_Solo_F1B_Junior_Intermediate[[#This Row],[J4 TOTAL]])+1</f>
        <v>1</v>
      </c>
      <c r="Y8" s="21"/>
      <c r="Z8" s="22"/>
      <c r="AA8" s="23">
        <f>Twirling_Solo_F1B_Junior_Intermediate[[#This Row],[Judge 5
Barbara Novina]]-Y8</f>
        <v>0</v>
      </c>
      <c r="AB8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Row],[Category]],Twirling_Solo_F1B_Junior_Intermediate[J5 TOTAL],"&gt;"&amp;Twirling_Solo_F1B_Junior_Intermediate[[#This Row],[J5 TOTAL]])+1</f>
        <v>1</v>
      </c>
      <c r="AC8" s="25">
        <f>SUM(Twirling_Solo_F1B_Junior_Intermediate[[#This Row],[J1 TOTAL]]+Twirling_Solo_F1B_Junior_Intermediate[[#This Row],[J2 TOTAL]]+Twirling_Solo_F1B_Junior_Intermediate[[#This Row],[J3 TOTAL]]+Twirling_Solo_F1B_Junior_Intermediate[[#This Row],[J4 TOTAL]])+Twirling_Solo_F1B_Junior_Intermediate[[#This Row],[J5 TOTAL]]</f>
        <v>30.6</v>
      </c>
      <c r="AD8" s="25"/>
      <c r="AE8" s="25"/>
      <c r="AF8" s="25">
        <f>SUM(Twirling_Solo_F1B_Junior_Intermediate[[#This Row],[Total]]-Twirling_Solo_F1B_Junior_Intermediate[[#This Row],[Low]]-Twirling_Solo_F1B_Junior_Intermediate[[#This Row],[High]])</f>
        <v>30.6</v>
      </c>
      <c r="AG8" s="25">
        <f t="shared" si="0"/>
        <v>16.200000000000003</v>
      </c>
      <c r="AH8" s="26">
        <f>Twirling_Solo_F1B_Junior_Intermediate[[#This Row],[Final Total]]</f>
        <v>30.6</v>
      </c>
      <c r="AI8" s="27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Row],[Category]],Twirling_Solo_F1B_Junior_Intermediate[FINAL SCORE],"&gt;"&amp;Twirling_Solo_F1B_Junior_Intermediate[[#This Row],[FINAL SCORE]])+1</f>
        <v>7</v>
      </c>
      <c r="AJ8" s="18" t="s">
        <v>33</v>
      </c>
    </row>
    <row r="9" spans="1:55" ht="15.6" x14ac:dyDescent="0.3">
      <c r="A9" s="18">
        <v>24</v>
      </c>
      <c r="B9" s="19">
        <v>2</v>
      </c>
      <c r="C9" s="19" t="s">
        <v>42</v>
      </c>
      <c r="D9" s="19" t="s">
        <v>27</v>
      </c>
      <c r="E9" s="19" t="s">
        <v>43</v>
      </c>
      <c r="F9" s="31" t="s">
        <v>132</v>
      </c>
      <c r="G9" s="19" t="s">
        <v>73</v>
      </c>
      <c r="H9" s="20" t="s">
        <v>28</v>
      </c>
      <c r="I9" s="21"/>
      <c r="J9" s="22"/>
      <c r="K9" s="23">
        <f>Twirling_Solo_F1B_Junior_Intermediate[[#This Row],[Judge 1
Tamara Beljak]]-J9</f>
        <v>0</v>
      </c>
      <c r="L9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Row],[Category]],Twirling_Solo_F1B_Junior_Intermediate[J1 TOTAL],"&gt;"&amp;Twirling_Solo_F1B_Junior_Intermediate[[#This Row],[J1 TOTAL]])+1</f>
        <v>1</v>
      </c>
      <c r="M9" s="38">
        <v>10.7</v>
      </c>
      <c r="N9" s="47">
        <v>0.2</v>
      </c>
      <c r="O9" s="40">
        <f>Twirling_Solo_F1B_Junior_Intermediate[[#This Row],[Judge 2
Tihomir Bendelja]]-Twirling_Solo_F1B_Junior_Intermediate[[#This Row],[J2 (-)]]</f>
        <v>10.5</v>
      </c>
      <c r="P9" s="41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Row],[Category]],Twirling_Solo_F1B_Junior_Intermediate[J2 TOTAL],"&gt;"&amp;Twirling_Solo_F1B_Junior_Intermediate[[#This Row],[J2 TOTAL]])+1</f>
        <v>8</v>
      </c>
      <c r="Q9" s="38">
        <v>11.1</v>
      </c>
      <c r="R9" s="22">
        <v>0.2</v>
      </c>
      <c r="S9" s="23">
        <f>Twirling_Solo_F1B_Junior_Intermediate[[#This Row],[Judge 3
Tea Softić]]-R9</f>
        <v>10.9</v>
      </c>
      <c r="T9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Row],[Category]],Twirling_Solo_F1B_Junior_Intermediate[J3 TOTAL],"&gt;"&amp;Twirling_Solo_F1B_Junior_Intermediate[[#This Row],[J3 TOTAL]])+1</f>
        <v>8</v>
      </c>
      <c r="U9" s="21"/>
      <c r="V9" s="22"/>
      <c r="W9" s="23">
        <f>Twirling_Solo_F1B_Junior_Intermediate[[#This Row],[Judge 4
Bernard Barač]]-V9</f>
        <v>0</v>
      </c>
      <c r="X9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Row],[Category]],Twirling_Solo_F1B_Junior_Intermediate[J4 TOTAL],"&gt;"&amp;Twirling_Solo_F1B_Junior_Intermediate[[#This Row],[J4 TOTAL]])+1</f>
        <v>1</v>
      </c>
      <c r="Y9" s="21"/>
      <c r="Z9" s="22"/>
      <c r="AA9" s="23">
        <f>Twirling_Solo_F1B_Junior_Intermediate[[#This Row],[Judge 5
Barbara Novina]]-Y9</f>
        <v>0</v>
      </c>
      <c r="AB9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Row],[Category]],Twirling_Solo_F1B_Junior_Intermediate[J5 TOTAL],"&gt;"&amp;Twirling_Solo_F1B_Junior_Intermediate[[#This Row],[J5 TOTAL]])+1</f>
        <v>1</v>
      </c>
      <c r="AC9" s="25">
        <f>SUM(Twirling_Solo_F1B_Junior_Intermediate[[#This Row],[J1 TOTAL]]+Twirling_Solo_F1B_Junior_Intermediate[[#This Row],[J2 TOTAL]]+Twirling_Solo_F1B_Junior_Intermediate[[#This Row],[J3 TOTAL]]+Twirling_Solo_F1B_Junior_Intermediate[[#This Row],[J4 TOTAL]])+Twirling_Solo_F1B_Junior_Intermediate[[#This Row],[J5 TOTAL]]</f>
        <v>21.4</v>
      </c>
      <c r="AD9" s="25"/>
      <c r="AE9" s="25"/>
      <c r="AF9" s="25">
        <f>SUM(Twirling_Solo_F1B_Junior_Intermediate[[#This Row],[Total]]-Twirling_Solo_F1B_Junior_Intermediate[[#This Row],[Low]]-Twirling_Solo_F1B_Junior_Intermediate[[#This Row],[High]])</f>
        <v>21.4</v>
      </c>
      <c r="AG9" s="25">
        <f t="shared" si="0"/>
        <v>10.899999999999999</v>
      </c>
      <c r="AH9" s="26">
        <f>Twirling_Solo_F1B_Junior_Intermediate[[#This Row],[Final Total]]</f>
        <v>21.4</v>
      </c>
      <c r="AI9" s="28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Row],[Category]],Twirling_Solo_F1B_Junior_Intermediate[FINAL SCORE],"&gt;"&amp;Twirling_Solo_F1B_Junior_Intermediate[[#This Row],[FINAL SCORE]])+1</f>
        <v>8</v>
      </c>
      <c r="AJ9" s="18" t="s">
        <v>33</v>
      </c>
    </row>
    <row r="10" spans="1:55" ht="15.6" x14ac:dyDescent="0.3">
      <c r="A10" s="18">
        <v>32</v>
      </c>
      <c r="B10" s="19">
        <v>2</v>
      </c>
      <c r="C10" s="19" t="s">
        <v>42</v>
      </c>
      <c r="D10" s="19" t="s">
        <v>27</v>
      </c>
      <c r="E10" s="19" t="s">
        <v>43</v>
      </c>
      <c r="F10" s="31" t="s">
        <v>134</v>
      </c>
      <c r="G10" s="19" t="s">
        <v>73</v>
      </c>
      <c r="H10" s="20" t="s">
        <v>28</v>
      </c>
      <c r="I10" s="21"/>
      <c r="J10" s="22"/>
      <c r="K10" s="23">
        <f>Twirling_Solo_F1B_Junior_Intermediate[[#This Row],[Judge 1
Tamara Beljak]]-J10</f>
        <v>0</v>
      </c>
      <c r="L10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Row],[Category]],Twirling_Solo_F1B_Junior_Intermediate[J1 TOTAL],"&gt;"&amp;Twirling_Solo_F1B_Junior_Intermediate[[#This Row],[J1 TOTAL]])+1</f>
        <v>1</v>
      </c>
      <c r="M10" s="21">
        <v>10.3</v>
      </c>
      <c r="N10" s="22">
        <v>1.1000000000000001</v>
      </c>
      <c r="O10" s="23">
        <f>Twirling_Solo_F1B_Junior_Intermediate[[#This Row],[Judge 2
Tihomir Bendelja]]-Twirling_Solo_F1B_Junior_Intermediate[[#This Row],[J2 (-)]]</f>
        <v>9.2000000000000011</v>
      </c>
      <c r="P10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Row],[Category]],Twirling_Solo_F1B_Junior_Intermediate[J2 TOTAL],"&gt;"&amp;Twirling_Solo_F1B_Junior_Intermediate[[#This Row],[J2 TOTAL]])+1</f>
        <v>9</v>
      </c>
      <c r="Q10" s="21">
        <v>11.9</v>
      </c>
      <c r="R10" s="22">
        <v>1.1000000000000001</v>
      </c>
      <c r="S10" s="23">
        <f>Twirling_Solo_F1B_Junior_Intermediate[[#This Row],[Judge 3
Tea Softić]]-R10</f>
        <v>10.8</v>
      </c>
      <c r="T10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Row],[Category]],Twirling_Solo_F1B_Junior_Intermediate[J3 TOTAL],"&gt;"&amp;Twirling_Solo_F1B_Junior_Intermediate[[#This Row],[J3 TOTAL]])+1</f>
        <v>9</v>
      </c>
      <c r="U10" s="21"/>
      <c r="V10" s="22"/>
      <c r="W10" s="23">
        <f>Twirling_Solo_F1B_Junior_Intermediate[[#This Row],[Judge 4
Bernard Barač]]-V10</f>
        <v>0</v>
      </c>
      <c r="X10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Row],[Category]],Twirling_Solo_F1B_Junior_Intermediate[J4 TOTAL],"&gt;"&amp;Twirling_Solo_F1B_Junior_Intermediate[[#This Row],[J4 TOTAL]])+1</f>
        <v>1</v>
      </c>
      <c r="Y10" s="21"/>
      <c r="Z10" s="22"/>
      <c r="AA10" s="23">
        <f>Twirling_Solo_F1B_Junior_Intermediate[[#This Row],[Judge 5
Barbara Novina]]-Y10</f>
        <v>0</v>
      </c>
      <c r="AB10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Row],[Category]],Twirling_Solo_F1B_Junior_Intermediate[J5 TOTAL],"&gt;"&amp;Twirling_Solo_F1B_Junior_Intermediate[[#This Row],[J5 TOTAL]])+1</f>
        <v>1</v>
      </c>
      <c r="AC10" s="25">
        <f>SUM(Twirling_Solo_F1B_Junior_Intermediate[[#This Row],[J1 TOTAL]]+Twirling_Solo_F1B_Junior_Intermediate[[#This Row],[J2 TOTAL]]+Twirling_Solo_F1B_Junior_Intermediate[[#This Row],[J3 TOTAL]]+Twirling_Solo_F1B_Junior_Intermediate[[#This Row],[J4 TOTAL]])+Twirling_Solo_F1B_Junior_Intermediate[[#This Row],[J5 TOTAL]]</f>
        <v>20</v>
      </c>
      <c r="AD10" s="25"/>
      <c r="AE10" s="25"/>
      <c r="AF10" s="25">
        <f>SUM(Twirling_Solo_F1B_Junior_Intermediate[[#This Row],[Total]]-Twirling_Solo_F1B_Junior_Intermediate[[#This Row],[Low]]-Twirling_Solo_F1B_Junior_Intermediate[[#This Row],[High]])</f>
        <v>20</v>
      </c>
      <c r="AG10" s="25">
        <f t="shared" si="0"/>
        <v>11.100000000000001</v>
      </c>
      <c r="AH10" s="26">
        <f>Twirling_Solo_F1B_Junior_Intermediate[[#This Row],[Final Total]]</f>
        <v>20</v>
      </c>
      <c r="AI10" s="28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Row],[Category]],Twirling_Solo_F1B_Junior_Intermediate[FINAL SCORE],"&gt;"&amp;Twirling_Solo_F1B_Junior_Intermediate[[#This Row],[FINAL SCORE]])+1</f>
        <v>9</v>
      </c>
      <c r="AJ10" s="18" t="s">
        <v>33</v>
      </c>
    </row>
    <row r="11" spans="1:55" ht="15.6" x14ac:dyDescent="0.3">
      <c r="A11" s="18">
        <v>36</v>
      </c>
      <c r="B11" s="19">
        <v>2</v>
      </c>
      <c r="C11" s="19" t="s">
        <v>42</v>
      </c>
      <c r="D11" s="19" t="s">
        <v>27</v>
      </c>
      <c r="E11" s="19" t="s">
        <v>43</v>
      </c>
      <c r="F11" s="31" t="s">
        <v>135</v>
      </c>
      <c r="G11" s="19" t="s">
        <v>73</v>
      </c>
      <c r="H11" s="20" t="s">
        <v>28</v>
      </c>
      <c r="I11" s="21"/>
      <c r="J11" s="22"/>
      <c r="K11" s="23">
        <f>Twirling_Solo_F1B_Junior_Intermediate[[#This Row],[Judge 1
Tamara Beljak]]-J11</f>
        <v>0</v>
      </c>
      <c r="L11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Row],[Category]],Twirling_Solo_F1B_Junior_Intermediate[J1 TOTAL],"&gt;"&amp;Twirling_Solo_F1B_Junior_Intermediate[[#This Row],[J1 TOTAL]])+1</f>
        <v>1</v>
      </c>
      <c r="M11" s="21">
        <v>9.1999999999999993</v>
      </c>
      <c r="N11" s="22">
        <v>0.8</v>
      </c>
      <c r="O11" s="23">
        <f>Twirling_Solo_F1B_Junior_Intermediate[[#This Row],[Judge 2
Tihomir Bendelja]]-Twirling_Solo_F1B_Junior_Intermediate[[#This Row],[J2 (-)]]</f>
        <v>8.3999999999999986</v>
      </c>
      <c r="P11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Row],[Category]],Twirling_Solo_F1B_Junior_Intermediate[J2 TOTAL],"&gt;"&amp;Twirling_Solo_F1B_Junior_Intermediate[[#This Row],[J2 TOTAL]])+1</f>
        <v>10</v>
      </c>
      <c r="Q11" s="21">
        <v>10.7</v>
      </c>
      <c r="R11" s="22">
        <v>0.8</v>
      </c>
      <c r="S11" s="23">
        <f>Twirling_Solo_F1B_Junior_Intermediate[[#This Row],[Judge 3
Tea Softić]]-R11</f>
        <v>9.8999999999999986</v>
      </c>
      <c r="T11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Row],[Category]],Twirling_Solo_F1B_Junior_Intermediate[J3 TOTAL],"&gt;"&amp;Twirling_Solo_F1B_Junior_Intermediate[[#This Row],[J3 TOTAL]])+1</f>
        <v>10</v>
      </c>
      <c r="U11" s="21"/>
      <c r="V11" s="22"/>
      <c r="W11" s="23">
        <f>Twirling_Solo_F1B_Junior_Intermediate[[#This Row],[Judge 4
Bernard Barač]]-V11</f>
        <v>0</v>
      </c>
      <c r="X11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Row],[Category]],Twirling_Solo_F1B_Junior_Intermediate[J4 TOTAL],"&gt;"&amp;Twirling_Solo_F1B_Junior_Intermediate[[#This Row],[J4 TOTAL]])+1</f>
        <v>1</v>
      </c>
      <c r="Y11" s="21"/>
      <c r="Z11" s="22"/>
      <c r="AA11" s="23">
        <f>Twirling_Solo_F1B_Junior_Intermediate[[#This Row],[Judge 5
Barbara Novina]]-Y11</f>
        <v>0</v>
      </c>
      <c r="AB11" s="24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Row],[Category]],Twirling_Solo_F1B_Junior_Intermediate[J5 TOTAL],"&gt;"&amp;Twirling_Solo_F1B_Junior_Intermediate[[#This Row],[J5 TOTAL]])+1</f>
        <v>1</v>
      </c>
      <c r="AC11" s="25">
        <f>SUM(Twirling_Solo_F1B_Junior_Intermediate[[#This Row],[J1 TOTAL]]+Twirling_Solo_F1B_Junior_Intermediate[[#This Row],[J2 TOTAL]]+Twirling_Solo_F1B_Junior_Intermediate[[#This Row],[J3 TOTAL]]+Twirling_Solo_F1B_Junior_Intermediate[[#This Row],[J4 TOTAL]])+Twirling_Solo_F1B_Junior_Intermediate[[#This Row],[J5 TOTAL]]</f>
        <v>18.299999999999997</v>
      </c>
      <c r="AD11" s="25"/>
      <c r="AE11" s="25"/>
      <c r="AF11" s="25">
        <f>SUM(Twirling_Solo_F1B_Junior_Intermediate[[#This Row],[Total]]-Twirling_Solo_F1B_Junior_Intermediate[[#This Row],[Low]]-Twirling_Solo_F1B_Junior_Intermediate[[#This Row],[High]])</f>
        <v>18.299999999999997</v>
      </c>
      <c r="AG11" s="25">
        <f t="shared" si="0"/>
        <v>9.9499999999999993</v>
      </c>
      <c r="AH11" s="26">
        <f>Twirling_Solo_F1B_Junior_Intermediate[[#This Row],[Final Total]]</f>
        <v>18.299999999999997</v>
      </c>
      <c r="AI11" s="28">
        <f>COUNTIFS(Twirling_Solo_F1B_Junior_Intermediate[Age
Division],Twirling_Solo_F1B_Junior_Intermediate[[#This Row],[Age
Division]],Twirling_Solo_F1B_Junior_Intermediate[Category],Twirling_Solo_F1B_Junior_Intermediate[[#This Row],[Category]],Twirling_Solo_F1B_Junior_Intermediate[FINAL SCORE],"&gt;"&amp;Twirling_Solo_F1B_Junior_Intermediate[[#This Row],[FINAL SCORE]])+1</f>
        <v>10</v>
      </c>
      <c r="AJ11" s="18" t="s">
        <v>33</v>
      </c>
    </row>
  </sheetData>
  <sheetProtection algorithmName="SHA-512" hashValue="U8QgW7abr8A9AIp9gzUXQqJAow/YQcAsTKP+xqFkcnITkmE85SO/eBIY5w9riwZyTc8EWisrj2YsCBWhmRyqwA==" saltValue="my/gIGTWap3tPG3p+Nc4vA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D30EA-A2A6-4A10-90D9-B99A7D5560CE}">
  <sheetPr codeName="Sheet7"/>
  <dimension ref="A1:BC5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.21875" style="29" bestFit="1" customWidth="1"/>
    <col min="4" max="4" width="8.5546875" style="30" customWidth="1"/>
    <col min="5" max="5" width="10.5546875" style="30" bestFit="1" customWidth="1"/>
    <col min="6" max="6" width="12.44140625" style="20" bestFit="1" customWidth="1"/>
    <col min="7" max="7" width="42.44140625" style="20" customWidth="1"/>
    <col min="8" max="8" width="9.6640625" style="20" bestFit="1" customWidth="1"/>
    <col min="9" max="12" width="9.109375" style="20" customWidth="1"/>
    <col min="13" max="20" width="9.109375" style="20" hidden="1" customWidth="1"/>
    <col min="21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25</v>
      </c>
      <c r="B2" s="19">
        <v>1</v>
      </c>
      <c r="C2" s="19" t="s">
        <v>42</v>
      </c>
      <c r="D2" s="19" t="s">
        <v>29</v>
      </c>
      <c r="E2" s="19" t="s">
        <v>43</v>
      </c>
      <c r="F2" s="31" t="s">
        <v>136</v>
      </c>
      <c r="G2" s="19" t="s">
        <v>49</v>
      </c>
      <c r="H2" s="20" t="s">
        <v>25</v>
      </c>
      <c r="I2" s="21">
        <v>20.8</v>
      </c>
      <c r="J2" s="22">
        <v>0.3</v>
      </c>
      <c r="K2" s="23">
        <f>Twirling_Solo_F1B_Senior_Intermediate[[#This Row],[Judge 1
Tamara Beljak]]-J2</f>
        <v>20.5</v>
      </c>
      <c r="L2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Row],[Category]],Twirling_Solo_F1B_Senior_Intermediate[J1 TOTAL],"&gt;"&amp;Twirling_Solo_F1B_Senior_Intermediate[[#This Row],[J1 TOTAL]])+1</f>
        <v>1</v>
      </c>
      <c r="M2" s="21"/>
      <c r="N2" s="22"/>
      <c r="O2" s="23">
        <f>Twirling_Solo_F1B_Senior_Intermediate[[#This Row],[Judge 2
Tihomir Bendelja]]-Twirling_Solo_F1B_Senior_Intermediate[[#This Row],[J2 (-)]]</f>
        <v>0</v>
      </c>
      <c r="P2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Row],[Category]],Twirling_Solo_F1B_Senior_Intermediate[J2 TOTAL],"&gt;"&amp;Twirling_Solo_F1B_Senior_Intermediate[[#This Row],[J2 TOTAL]])+1</f>
        <v>1</v>
      </c>
      <c r="Q2" s="21"/>
      <c r="R2" s="22"/>
      <c r="S2" s="23">
        <f>Twirling_Solo_F1B_Senior_Intermediate[[#This Row],[Judge 3
Tea Softić]]-R2</f>
        <v>0</v>
      </c>
      <c r="T2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Row],[Category]],Twirling_Solo_F1B_Senior_Intermediate[J3 TOTAL],"&gt;"&amp;Twirling_Solo_F1B_Senior_Intermediate[[#This Row],[J3 TOTAL]])+1</f>
        <v>1</v>
      </c>
      <c r="U2" s="21">
        <v>21.9</v>
      </c>
      <c r="V2" s="22">
        <v>0.3</v>
      </c>
      <c r="W2" s="23">
        <f>Twirling_Solo_F1B_Senior_Intermediate[[#This Row],[Judge 4
Bernard Barač]]-V2</f>
        <v>21.599999999999998</v>
      </c>
      <c r="X2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Row],[Category]],Twirling_Solo_F1B_Senior_Intermediate[J4 TOTAL],"&gt;"&amp;Twirling_Solo_F1B_Senior_Intermediate[[#This Row],[J4 TOTAL]])+1</f>
        <v>1</v>
      </c>
      <c r="Y2" s="21">
        <v>21.9</v>
      </c>
      <c r="Z2" s="22">
        <v>0.3</v>
      </c>
      <c r="AA2" s="23">
        <f>Twirling_Solo_F1B_Senior_Intermediate[[#This Row],[Judge 5
Barbara Novina]]-Z2</f>
        <v>21.599999999999998</v>
      </c>
      <c r="AB2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Row],[Category]],Twirling_Solo_F1B_Senior_Intermediate[J5 TOTAL],"&gt;"&amp;Twirling_Solo_F1B_Senior_Intermediate[[#This Row],[J5 TOTAL]])+1</f>
        <v>1</v>
      </c>
      <c r="AC2" s="25">
        <f>SUM(Twirling_Solo_F1B_Senior_Intermediate[[#This Row],[J1 TOTAL]]+Twirling_Solo_F1B_Senior_Intermediate[[#This Row],[J2 TOTAL]]+Twirling_Solo_F1B_Senior_Intermediate[[#This Row],[J3 TOTAL]]+Twirling_Solo_F1B_Senior_Intermediate[[#This Row],[J4 TOTAL]])+Twirling_Solo_F1B_Senior_Intermediate[[#This Row],[J5 TOTAL]]</f>
        <v>63.699999999999989</v>
      </c>
      <c r="AD2" s="25"/>
      <c r="AE2" s="25"/>
      <c r="AF2" s="25">
        <f>SUM(Twirling_Solo_F1B_Senior_Intermediate[[#This Row],[Total]]-Twirling_Solo_F1B_Senior_Intermediate[[#This Row],[Low]]-Twirling_Solo_F1B_Senior_Intermediate[[#This Row],[High]])</f>
        <v>63.699999999999989</v>
      </c>
      <c r="AG2" s="25">
        <f>AVERAGE(I2,M2,Q2,U2,Y2)</f>
        <v>21.533333333333331</v>
      </c>
      <c r="AH2" s="26">
        <f>Twirling_Solo_F1B_Senior_Intermediate[[#This Row],[Final Total]]</f>
        <v>63.699999999999989</v>
      </c>
      <c r="AI2" s="28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Row],[Category]],Twirling_Solo_F1B_Senior_Intermediate[FINAL SCORE],"&gt;"&amp;Twirling_Solo_F1B_Senior_Intermediate[[#This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23</v>
      </c>
      <c r="B3" s="19">
        <v>1</v>
      </c>
      <c r="C3" s="19" t="s">
        <v>42</v>
      </c>
      <c r="D3" s="19" t="s">
        <v>29</v>
      </c>
      <c r="E3" s="19" t="s">
        <v>43</v>
      </c>
      <c r="F3" s="31" t="s">
        <v>74</v>
      </c>
      <c r="G3" s="19" t="s">
        <v>47</v>
      </c>
      <c r="H3" s="20" t="s">
        <v>25</v>
      </c>
      <c r="I3" s="21">
        <v>17.100000000000001</v>
      </c>
      <c r="J3" s="22">
        <v>0.4</v>
      </c>
      <c r="K3" s="23">
        <f>Twirling_Solo_F1B_Senior_Intermediate[[#This Row],[Judge 1
Tamara Beljak]]-J3</f>
        <v>16.700000000000003</v>
      </c>
      <c r="L3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Row],[Category]],Twirling_Solo_F1B_Senior_Intermediate[J1 TOTAL],"&gt;"&amp;Twirling_Solo_F1B_Senior_Intermediate[[#This Row],[J1 TOTAL]])+1</f>
        <v>2</v>
      </c>
      <c r="M3" s="21"/>
      <c r="N3" s="22"/>
      <c r="O3" s="23">
        <f>Twirling_Solo_F1B_Senior_Intermediate[[#This Row],[Judge 2
Tihomir Bendelja]]-Twirling_Solo_F1B_Senior_Intermediate[[#This Row],[J2 (-)]]</f>
        <v>0</v>
      </c>
      <c r="P3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Row],[Category]],Twirling_Solo_F1B_Senior_Intermediate[J2 TOTAL],"&gt;"&amp;Twirling_Solo_F1B_Senior_Intermediate[[#This Row],[J2 TOTAL]])+1</f>
        <v>1</v>
      </c>
      <c r="Q3" s="21"/>
      <c r="R3" s="22"/>
      <c r="S3" s="23">
        <f>Twirling_Solo_F1B_Senior_Intermediate[[#This Row],[Judge 3
Tea Softić]]-R3</f>
        <v>0</v>
      </c>
      <c r="T3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Row],[Category]],Twirling_Solo_F1B_Senior_Intermediate[J3 TOTAL],"&gt;"&amp;Twirling_Solo_F1B_Senior_Intermediate[[#This Row],[J3 TOTAL]])+1</f>
        <v>1</v>
      </c>
      <c r="U3" s="21">
        <v>17.100000000000001</v>
      </c>
      <c r="V3" s="22">
        <v>0.4</v>
      </c>
      <c r="W3" s="23">
        <f>Twirling_Solo_F1B_Senior_Intermediate[[#This Row],[Judge 4
Bernard Barač]]-V3</f>
        <v>16.700000000000003</v>
      </c>
      <c r="X3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Row],[Category]],Twirling_Solo_F1B_Senior_Intermediate[J4 TOTAL],"&gt;"&amp;Twirling_Solo_F1B_Senior_Intermediate[[#This Row],[J4 TOTAL]])+1</f>
        <v>2</v>
      </c>
      <c r="Y3" s="21">
        <v>17.600000000000001</v>
      </c>
      <c r="Z3" s="22">
        <v>0.4</v>
      </c>
      <c r="AA3" s="23">
        <f>Twirling_Solo_F1B_Senior_Intermediate[[#This Row],[Judge 5
Barbara Novina]]-Z3</f>
        <v>17.200000000000003</v>
      </c>
      <c r="AB3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Row],[Category]],Twirling_Solo_F1B_Senior_Intermediate[J5 TOTAL],"&gt;"&amp;Twirling_Solo_F1B_Senior_Intermediate[[#This Row],[J5 TOTAL]])+1</f>
        <v>2</v>
      </c>
      <c r="AC3" s="25">
        <f>SUM(Twirling_Solo_F1B_Senior_Intermediate[[#This Row],[J1 TOTAL]]+Twirling_Solo_F1B_Senior_Intermediate[[#This Row],[J2 TOTAL]]+Twirling_Solo_F1B_Senior_Intermediate[[#This Row],[J3 TOTAL]]+Twirling_Solo_F1B_Senior_Intermediate[[#This Row],[J4 TOTAL]])+Twirling_Solo_F1B_Senior_Intermediate[[#This Row],[J5 TOTAL]]</f>
        <v>50.600000000000009</v>
      </c>
      <c r="AD3" s="25"/>
      <c r="AE3" s="25"/>
      <c r="AF3" s="25">
        <f>SUM(Twirling_Solo_F1B_Senior_Intermediate[[#This Row],[Total]]-Twirling_Solo_F1B_Senior_Intermediate[[#This Row],[Low]]-Twirling_Solo_F1B_Senior_Intermediate[[#This Row],[High]])</f>
        <v>50.600000000000009</v>
      </c>
      <c r="AG3" s="25">
        <f>AVERAGE(I3,M3,Q3,U3,Y3)</f>
        <v>17.266666666666669</v>
      </c>
      <c r="AH3" s="26">
        <f>Twirling_Solo_F1B_Senior_Intermediate[[#This Row],[Final Total]]</f>
        <v>50.600000000000009</v>
      </c>
      <c r="AI3" s="27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Row],[Category]],Twirling_Solo_F1B_Senior_Intermediate[FINAL SCORE],"&gt;"&amp;Twirling_Solo_F1B_Senior_Intermediate[[#This Row],[FINAL SCORE]])+1</f>
        <v>2</v>
      </c>
      <c r="AJ3" s="18" t="s">
        <v>33</v>
      </c>
    </row>
    <row r="4" spans="1:55" ht="15.6" x14ac:dyDescent="0.3">
      <c r="A4" s="18">
        <v>29</v>
      </c>
      <c r="B4" s="19">
        <v>1</v>
      </c>
      <c r="C4" s="19" t="s">
        <v>42</v>
      </c>
      <c r="D4" s="19" t="s">
        <v>29</v>
      </c>
      <c r="E4" s="19" t="s">
        <v>43</v>
      </c>
      <c r="F4" s="31" t="s">
        <v>138</v>
      </c>
      <c r="G4" s="19" t="s">
        <v>73</v>
      </c>
      <c r="H4" s="20" t="s">
        <v>28</v>
      </c>
      <c r="I4" s="21">
        <v>8.1999999999999993</v>
      </c>
      <c r="J4" s="22">
        <v>0.2</v>
      </c>
      <c r="K4" s="23">
        <f>Twirling_Solo_F1B_Senior_Intermediate[[#This Row],[Judge 1
Tamara Beljak]]-J4</f>
        <v>7.9999999999999991</v>
      </c>
      <c r="L4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Row],[Category]],Twirling_Solo_F1B_Senior_Intermediate[J1 TOTAL],"&gt;"&amp;Twirling_Solo_F1B_Senior_Intermediate[[#This Row],[J1 TOTAL]])+1</f>
        <v>3</v>
      </c>
      <c r="M4" s="21"/>
      <c r="N4" s="22"/>
      <c r="O4" s="23">
        <f>Twirling_Solo_F1B_Senior_Intermediate[[#This Row],[Judge 2
Tihomir Bendelja]]-Twirling_Solo_F1B_Senior_Intermediate[[#This Row],[J2 (-)]]</f>
        <v>0</v>
      </c>
      <c r="P4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Row],[Category]],Twirling_Solo_F1B_Senior_Intermediate[J2 TOTAL],"&gt;"&amp;Twirling_Solo_F1B_Senior_Intermediate[[#This Row],[J2 TOTAL]])+1</f>
        <v>1</v>
      </c>
      <c r="Q4" s="21"/>
      <c r="R4" s="22"/>
      <c r="S4" s="23">
        <f>Twirling_Solo_F1B_Senior_Intermediate[[#This Row],[Judge 3
Tea Softić]]-R4</f>
        <v>0</v>
      </c>
      <c r="T4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Row],[Category]],Twirling_Solo_F1B_Senior_Intermediate[J3 TOTAL],"&gt;"&amp;Twirling_Solo_F1B_Senior_Intermediate[[#This Row],[J3 TOTAL]])+1</f>
        <v>1</v>
      </c>
      <c r="U4" s="21">
        <v>8.4</v>
      </c>
      <c r="V4" s="22">
        <v>0.2</v>
      </c>
      <c r="W4" s="23">
        <f>Twirling_Solo_F1B_Senior_Intermediate[[#This Row],[Judge 4
Bernard Barač]]-V4</f>
        <v>8.2000000000000011</v>
      </c>
      <c r="X4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Row],[Category]],Twirling_Solo_F1B_Senior_Intermediate[J4 TOTAL],"&gt;"&amp;Twirling_Solo_F1B_Senior_Intermediate[[#This Row],[J4 TOTAL]])+1</f>
        <v>3</v>
      </c>
      <c r="Y4" s="21">
        <v>7.7</v>
      </c>
      <c r="Z4" s="22">
        <v>0.2</v>
      </c>
      <c r="AA4" s="23">
        <f>Twirling_Solo_F1B_Senior_Intermediate[[#This Row],[Judge 5
Barbara Novina]]-Z4</f>
        <v>7.5</v>
      </c>
      <c r="AB4" s="2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Row],[Category]],Twirling_Solo_F1B_Senior_Intermediate[J5 TOTAL],"&gt;"&amp;Twirling_Solo_F1B_Senior_Intermediate[[#This Row],[J5 TOTAL]])+1</f>
        <v>3</v>
      </c>
      <c r="AC4" s="25">
        <f>SUM(Twirling_Solo_F1B_Senior_Intermediate[[#This Row],[J1 TOTAL]]+Twirling_Solo_F1B_Senior_Intermediate[[#This Row],[J2 TOTAL]]+Twirling_Solo_F1B_Senior_Intermediate[[#This Row],[J3 TOTAL]]+Twirling_Solo_F1B_Senior_Intermediate[[#This Row],[J4 TOTAL]])+Twirling_Solo_F1B_Senior_Intermediate[[#This Row],[J5 TOTAL]]</f>
        <v>23.7</v>
      </c>
      <c r="AD4" s="25"/>
      <c r="AE4" s="25"/>
      <c r="AF4" s="25">
        <f>SUM(Twirling_Solo_F1B_Senior_Intermediate[[#This Row],[Total]]-Twirling_Solo_F1B_Senior_Intermediate[[#This Row],[Low]]-Twirling_Solo_F1B_Senior_Intermediate[[#This Row],[High]])</f>
        <v>23.7</v>
      </c>
      <c r="AG4" s="25">
        <f>AVERAGE(I4,M4,Q4,U4,Y4)</f>
        <v>8.1</v>
      </c>
      <c r="AH4" s="26">
        <f>Twirling_Solo_F1B_Senior_Intermediate[[#This Row],[Final Total]]</f>
        <v>23.7</v>
      </c>
      <c r="AI4" s="28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Row],[Category]],Twirling_Solo_F1B_Senior_Intermediate[FINAL SCORE],"&gt;"&amp;Twirling_Solo_F1B_Senior_Intermediate[[#This Row],[FINAL SCORE]])+1</f>
        <v>3</v>
      </c>
      <c r="AJ4" s="18" t="s">
        <v>33</v>
      </c>
    </row>
    <row r="5" spans="1:55" ht="15.6" x14ac:dyDescent="0.3">
      <c r="A5" s="48">
        <v>27</v>
      </c>
      <c r="B5" s="49">
        <v>1</v>
      </c>
      <c r="C5" s="49" t="s">
        <v>42</v>
      </c>
      <c r="D5" s="49" t="s">
        <v>29</v>
      </c>
      <c r="E5" s="49" t="s">
        <v>43</v>
      </c>
      <c r="F5" s="49" t="s">
        <v>137</v>
      </c>
      <c r="G5" s="49" t="s">
        <v>73</v>
      </c>
      <c r="H5" s="50" t="s">
        <v>28</v>
      </c>
      <c r="I5" s="51"/>
      <c r="J5" s="51"/>
      <c r="K5" s="51">
        <f>Twirling_Solo_F1B_Senior_Intermediate[[#This Row],[Judge 1
Tamara Beljak]]-J5</f>
        <v>0</v>
      </c>
      <c r="L5" s="52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Row],[Category]],Twirling_Solo_F1B_Senior_Intermediate[J1 TOTAL],"&gt;"&amp;Twirling_Solo_F1B_Senior_Intermediate[[#This Row],[J1 TOTAL]])+1</f>
        <v>4</v>
      </c>
      <c r="M5" s="51"/>
      <c r="N5" s="51"/>
      <c r="O5" s="51">
        <f>Twirling_Solo_F1B_Senior_Intermediate[[#This Row],[Judge 2
Tihomir Bendelja]]-Twirling_Solo_F1B_Senior_Intermediate[[#This Row],[J2 (-)]]</f>
        <v>0</v>
      </c>
      <c r="P5" s="52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Row],[Category]],Twirling_Solo_F1B_Senior_Intermediate[J2 TOTAL],"&gt;"&amp;Twirling_Solo_F1B_Senior_Intermediate[[#This Row],[J2 TOTAL]])+1</f>
        <v>1</v>
      </c>
      <c r="Q5" s="51"/>
      <c r="R5" s="51"/>
      <c r="S5" s="51">
        <f>Twirling_Solo_F1B_Senior_Intermediate[[#This Row],[Judge 3
Tea Softić]]-R5</f>
        <v>0</v>
      </c>
      <c r="T5" s="52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Row],[Category]],Twirling_Solo_F1B_Senior_Intermediate[J3 TOTAL],"&gt;"&amp;Twirling_Solo_F1B_Senior_Intermediate[[#This Row],[J3 TOTAL]])+1</f>
        <v>1</v>
      </c>
      <c r="U5" s="51">
        <v>0</v>
      </c>
      <c r="V5" s="51">
        <v>0</v>
      </c>
      <c r="W5" s="51">
        <f>Twirling_Solo_F1B_Senior_Intermediate[[#This Row],[Judge 4
Bernard Barač]]-V5</f>
        <v>0</v>
      </c>
      <c r="X5" s="52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Row],[Category]],Twirling_Solo_F1B_Senior_Intermediate[J4 TOTAL],"&gt;"&amp;Twirling_Solo_F1B_Senior_Intermediate[[#This Row],[J4 TOTAL]])+1</f>
        <v>4</v>
      </c>
      <c r="Y5" s="51">
        <v>0</v>
      </c>
      <c r="Z5" s="51">
        <v>0</v>
      </c>
      <c r="AA5" s="51">
        <f>Twirling_Solo_F1B_Senior_Intermediate[[#This Row],[Judge 5
Barbara Novina]]-Z5</f>
        <v>0</v>
      </c>
      <c r="AB5" s="52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Row],[Category]],Twirling_Solo_F1B_Senior_Intermediate[J5 TOTAL],"&gt;"&amp;Twirling_Solo_F1B_Senior_Intermediate[[#This Row],[J5 TOTAL]])+1</f>
        <v>4</v>
      </c>
      <c r="AC5" s="51">
        <f>SUM(Twirling_Solo_F1B_Senior_Intermediate[[#This Row],[J1 TOTAL]]+Twirling_Solo_F1B_Senior_Intermediate[[#This Row],[J2 TOTAL]]+Twirling_Solo_F1B_Senior_Intermediate[[#This Row],[J3 TOTAL]]+Twirling_Solo_F1B_Senior_Intermediate[[#This Row],[J4 TOTAL]])+Twirling_Solo_F1B_Senior_Intermediate[[#This Row],[J5 TOTAL]]</f>
        <v>0</v>
      </c>
      <c r="AD5" s="51"/>
      <c r="AE5" s="51"/>
      <c r="AF5" s="51">
        <f>SUM(Twirling_Solo_F1B_Senior_Intermediate[[#This Row],[Total]]-Twirling_Solo_F1B_Senior_Intermediate[[#This Row],[Low]]-Twirling_Solo_F1B_Senior_Intermediate[[#This Row],[High]])</f>
        <v>0</v>
      </c>
      <c r="AG5" s="51">
        <f>AVERAGE(I5,M5,Q5,U5,Y5)</f>
        <v>0</v>
      </c>
      <c r="AH5" s="53">
        <f>Twirling_Solo_F1B_Senior_Intermediate[[#This Row],[Final Total]]</f>
        <v>0</v>
      </c>
      <c r="AI5" s="54">
        <f>COUNTIFS(Twirling_Solo_F1B_Senior_Intermediate[Age
Division],Twirling_Solo_F1B_Senior_Intermediate[[#This Row],[Age
Division]],Twirling_Solo_F1B_Senior_Intermediate[Category],Twirling_Solo_F1B_Senior_Intermediate[[#This Row],[Category]],Twirling_Solo_F1B_Senior_Intermediate[FINAL SCORE],"&gt;"&amp;Twirling_Solo_F1B_Senior_Intermediate[[#This Row],[FINAL SCORE]])+1</f>
        <v>4</v>
      </c>
      <c r="AJ5" s="48" t="s">
        <v>33</v>
      </c>
    </row>
  </sheetData>
  <sheetProtection algorithmName="SHA-512" hashValue="6y01/HQt92bGcAg2QH1w1NjYic1ufqXGBAl37vOl1bLpwUzqUQ0VYUz3Z18orubcUnW8z/KhLco1kACJQMj+7g==" saltValue="J8s4dEZ6XVaBIRzAbTo1hg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F8079-745E-42D8-94BC-909816ACAEBF}">
  <sheetPr codeName="Sheet8"/>
  <dimension ref="A1:BC5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1.21875" style="29" bestFit="1" customWidth="1"/>
    <col min="4" max="4" width="9.6640625" style="30" bestFit="1" customWidth="1"/>
    <col min="5" max="5" width="8.44140625" style="30" bestFit="1" customWidth="1"/>
    <col min="6" max="6" width="11.88671875" style="20" bestFit="1" customWidth="1"/>
    <col min="7" max="7" width="42.21875" style="20" bestFit="1" customWidth="1"/>
    <col min="8" max="8" width="9.6640625" style="20" bestFit="1" customWidth="1"/>
    <col min="9" max="12" width="9.109375" style="20" customWidth="1"/>
    <col min="13" max="20" width="9.109375" style="20" hidden="1" customWidth="1"/>
    <col min="21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37</v>
      </c>
      <c r="B2" s="19">
        <v>1</v>
      </c>
      <c r="C2" s="19" t="s">
        <v>42</v>
      </c>
      <c r="D2" s="19" t="s">
        <v>29</v>
      </c>
      <c r="E2" s="19" t="s">
        <v>56</v>
      </c>
      <c r="F2" s="31" t="s">
        <v>140</v>
      </c>
      <c r="G2" s="19" t="s">
        <v>86</v>
      </c>
      <c r="H2" s="20" t="s">
        <v>25</v>
      </c>
      <c r="I2" s="21">
        <v>22.8</v>
      </c>
      <c r="J2" s="22">
        <v>0.2</v>
      </c>
      <c r="K2" s="23">
        <f>Twirling_Solo_F1B_Senior_Advanced[[#This Row],[Judge 1
Tamara Beljak]]-J2</f>
        <v>22.6</v>
      </c>
      <c r="L2" s="24">
        <f>COUNTIFS(Twirling_Solo_F1B_Senior_Advanced[Age
Division],Twirling_Solo_F1B_Senior_Advanced[[#This Row],[Age
Division]],Twirling_Solo_F1B_Senior_Advanced[Category],Twirling_Solo_F1B_Senior_Advanced[[#This Row],[Category]],Twirling_Solo_F1B_Senior_Advanced[J1 TOTAL],"&gt;"&amp;Twirling_Solo_F1B_Senior_Advanced[[#This Row],[J1 TOTAL]])+1</f>
        <v>1</v>
      </c>
      <c r="M2" s="21"/>
      <c r="N2" s="22"/>
      <c r="O2" s="23">
        <f>Twirling_Solo_F1B_Senior_Advanced[[#This Row],[Judge 2
Tihomir Bendelja]]-Twirling_Solo_F1B_Senior_Advanced[[#This Row],[J2 (-)]]</f>
        <v>0</v>
      </c>
      <c r="P2" s="24">
        <f>COUNTIFS(Twirling_Solo_F1B_Senior_Advanced[Age
Division],Twirling_Solo_F1B_Senior_Advanced[[#This Row],[Age
Division]],Twirling_Solo_F1B_Senior_Advanced[Category],Twirling_Solo_F1B_Senior_Advanced[[#This Row],[Category]],Twirling_Solo_F1B_Senior_Advanced[J2 TOTAL],"&gt;"&amp;Twirling_Solo_F1B_Senior_Advanced[[#This Row],[J2 TOTAL]])+1</f>
        <v>1</v>
      </c>
      <c r="Q2" s="21"/>
      <c r="R2" s="22"/>
      <c r="S2" s="23">
        <f>Twirling_Solo_F1B_Senior_Advanced[[#This Row],[Judge 3
Tea Softić]]-R2</f>
        <v>0</v>
      </c>
      <c r="T2" s="24">
        <f>COUNTIFS(Twirling_Solo_F1B_Senior_Advanced[Age
Division],Twirling_Solo_F1B_Senior_Advanced[[#This Row],[Age
Division]],Twirling_Solo_F1B_Senior_Advanced[Category],Twirling_Solo_F1B_Senior_Advanced[[#This Row],[Category]],Twirling_Solo_F1B_Senior_Advanced[J3 TOTAL],"&gt;"&amp;Twirling_Solo_F1B_Senior_Advanced[[#This Row],[J3 TOTAL]])+1</f>
        <v>1</v>
      </c>
      <c r="U2" s="21">
        <v>21.1</v>
      </c>
      <c r="V2" s="22">
        <v>0.2</v>
      </c>
      <c r="W2" s="23">
        <f>Twirling_Solo_F1B_Senior_Advanced[[#This Row],[Judge 4
Bernard Barač]]-V2</f>
        <v>20.900000000000002</v>
      </c>
      <c r="X2" s="24">
        <f>COUNTIFS(Twirling_Solo_F1B_Senior_Advanced[Age
Division],Twirling_Solo_F1B_Senior_Advanced[[#This Row],[Age
Division]],Twirling_Solo_F1B_Senior_Advanced[Category],Twirling_Solo_F1B_Senior_Advanced[[#This Row],[Category]],Twirling_Solo_F1B_Senior_Advanced[J4 TOTAL],"&gt;"&amp;Twirling_Solo_F1B_Senior_Advanced[[#This Row],[J4 TOTAL]])+1</f>
        <v>1</v>
      </c>
      <c r="Y2" s="21">
        <v>19.7</v>
      </c>
      <c r="Z2" s="22">
        <v>0.2</v>
      </c>
      <c r="AA2" s="23">
        <f>Twirling_Solo_F1B_Senior_Advanced[[#This Row],[Judge 5
Barbara Novina]]-Z2</f>
        <v>19.5</v>
      </c>
      <c r="AB2" s="24">
        <f>COUNTIFS(Twirling_Solo_F1B_Senior_Advanced[Age
Division],Twirling_Solo_F1B_Senior_Advanced[[#This Row],[Age
Division]],Twirling_Solo_F1B_Senior_Advanced[Category],Twirling_Solo_F1B_Senior_Advanced[[#This Row],[Category]],Twirling_Solo_F1B_Senior_Advanced[J5 TOTAL],"&gt;"&amp;Twirling_Solo_F1B_Senior_Advanced[[#This Row],[J5 TOTAL]])+1</f>
        <v>1</v>
      </c>
      <c r="AC2" s="25">
        <f>SUM(Twirling_Solo_F1B_Senior_Advanced[[#This Row],[J1 TOTAL]]+Twirling_Solo_F1B_Senior_Advanced[[#This Row],[J2 TOTAL]]+Twirling_Solo_F1B_Senior_Advanced[[#This Row],[J3 TOTAL]]+Twirling_Solo_F1B_Senior_Advanced[[#This Row],[J4 TOTAL]])+Twirling_Solo_F1B_Senior_Advanced[[#This Row],[J5 TOTAL]]</f>
        <v>63</v>
      </c>
      <c r="AD2" s="25"/>
      <c r="AE2" s="25"/>
      <c r="AF2" s="25">
        <f>SUM(Twirling_Solo_F1B_Senior_Advanced[[#This Row],[Total]]-Twirling_Solo_F1B_Senior_Advanced[[#This Row],[Low]]-Twirling_Solo_F1B_Senior_Advanced[[#This Row],[High]])</f>
        <v>63</v>
      </c>
      <c r="AG2" s="25">
        <f>AVERAGE(I2,M2,Q2,U2,Y2)</f>
        <v>21.200000000000003</v>
      </c>
      <c r="AH2" s="26">
        <f>Twirling_Solo_F1B_Senior_Advanced[[#This Row],[Final Total]]</f>
        <v>63</v>
      </c>
      <c r="AI2" s="28">
        <f>COUNTIFS(Twirling_Solo_F1B_Senior_Advanced[Age
Division],Twirling_Solo_F1B_Senior_Advanced[[#This Row],[Age
Division]],Twirling_Solo_F1B_Senior_Advanced[Category],Twirling_Solo_F1B_Senior_Advanced[[#This Row],[Category]],Twirling_Solo_F1B_Senior_Advanced[FINAL SCORE],"&gt;"&amp;Twirling_Solo_F1B_Senior_Advanced[[#This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31</v>
      </c>
      <c r="B3" s="19">
        <v>1</v>
      </c>
      <c r="C3" s="19" t="s">
        <v>42</v>
      </c>
      <c r="D3" s="19" t="s">
        <v>29</v>
      </c>
      <c r="E3" s="19" t="s">
        <v>56</v>
      </c>
      <c r="F3" s="31" t="s">
        <v>139</v>
      </c>
      <c r="G3" s="19" t="s">
        <v>86</v>
      </c>
      <c r="H3" s="20" t="s">
        <v>25</v>
      </c>
      <c r="I3" s="21">
        <v>14.7</v>
      </c>
      <c r="J3" s="22">
        <v>0.2</v>
      </c>
      <c r="K3" s="23">
        <f>Twirling_Solo_F1B_Senior_Advanced[[#This Row],[Judge 1
Tamara Beljak]]-J3</f>
        <v>14.5</v>
      </c>
      <c r="L3" s="24">
        <f>COUNTIFS(Twirling_Solo_F1B_Senior_Advanced[Age
Division],Twirling_Solo_F1B_Senior_Advanced[[#This Row],[Age
Division]],Twirling_Solo_F1B_Senior_Advanced[Category],Twirling_Solo_F1B_Senior_Advanced[[#This Row],[Category]],Twirling_Solo_F1B_Senior_Advanced[J1 TOTAL],"&gt;"&amp;Twirling_Solo_F1B_Senior_Advanced[[#This Row],[J1 TOTAL]])+1</f>
        <v>2</v>
      </c>
      <c r="M3" s="21"/>
      <c r="N3" s="22"/>
      <c r="O3" s="23">
        <f>Twirling_Solo_F1B_Senior_Advanced[[#This Row],[Judge 2
Tihomir Bendelja]]-Twirling_Solo_F1B_Senior_Advanced[[#This Row],[J2 (-)]]</f>
        <v>0</v>
      </c>
      <c r="P3" s="24">
        <f>COUNTIFS(Twirling_Solo_F1B_Senior_Advanced[Age
Division],Twirling_Solo_F1B_Senior_Advanced[[#This Row],[Age
Division]],Twirling_Solo_F1B_Senior_Advanced[Category],Twirling_Solo_F1B_Senior_Advanced[[#This Row],[Category]],Twirling_Solo_F1B_Senior_Advanced[J2 TOTAL],"&gt;"&amp;Twirling_Solo_F1B_Senior_Advanced[[#This Row],[J2 TOTAL]])+1</f>
        <v>1</v>
      </c>
      <c r="Q3" s="21"/>
      <c r="R3" s="22"/>
      <c r="S3" s="23">
        <f>Twirling_Solo_F1B_Senior_Advanced[[#This Row],[Judge 3
Tea Softić]]-R3</f>
        <v>0</v>
      </c>
      <c r="T3" s="24">
        <f>COUNTIFS(Twirling_Solo_F1B_Senior_Advanced[Age
Division],Twirling_Solo_F1B_Senior_Advanced[[#This Row],[Age
Division]],Twirling_Solo_F1B_Senior_Advanced[Category],Twirling_Solo_F1B_Senior_Advanced[[#This Row],[Category]],Twirling_Solo_F1B_Senior_Advanced[J3 TOTAL],"&gt;"&amp;Twirling_Solo_F1B_Senior_Advanced[[#This Row],[J3 TOTAL]])+1</f>
        <v>1</v>
      </c>
      <c r="U3" s="21">
        <v>16.2</v>
      </c>
      <c r="V3" s="22">
        <v>0.2</v>
      </c>
      <c r="W3" s="23">
        <f>Twirling_Solo_F1B_Senior_Advanced[[#This Row],[Judge 4
Bernard Barač]]-V3</f>
        <v>16</v>
      </c>
      <c r="X3" s="24">
        <f>COUNTIFS(Twirling_Solo_F1B_Senior_Advanced[Age
Division],Twirling_Solo_F1B_Senior_Advanced[[#This Row],[Age
Division]],Twirling_Solo_F1B_Senior_Advanced[Category],Twirling_Solo_F1B_Senior_Advanced[[#This Row],[Category]],Twirling_Solo_F1B_Senior_Advanced[J4 TOTAL],"&gt;"&amp;Twirling_Solo_F1B_Senior_Advanced[[#This Row],[J4 TOTAL]])+1</f>
        <v>2</v>
      </c>
      <c r="Y3" s="21">
        <v>16.7</v>
      </c>
      <c r="Z3" s="22">
        <v>0.2</v>
      </c>
      <c r="AA3" s="23">
        <f>Twirling_Solo_F1B_Senior_Advanced[[#This Row],[Judge 5
Barbara Novina]]-Z3</f>
        <v>16.5</v>
      </c>
      <c r="AB3" s="24">
        <f>COUNTIFS(Twirling_Solo_F1B_Senior_Advanced[Age
Division],Twirling_Solo_F1B_Senior_Advanced[[#This Row],[Age
Division]],Twirling_Solo_F1B_Senior_Advanced[Category],Twirling_Solo_F1B_Senior_Advanced[[#This Row],[Category]],Twirling_Solo_F1B_Senior_Advanced[J5 TOTAL],"&gt;"&amp;Twirling_Solo_F1B_Senior_Advanced[[#This Row],[J5 TOTAL]])+1</f>
        <v>2</v>
      </c>
      <c r="AC3" s="25">
        <f>SUM(Twirling_Solo_F1B_Senior_Advanced[[#This Row],[J1 TOTAL]]+Twirling_Solo_F1B_Senior_Advanced[[#This Row],[J2 TOTAL]]+Twirling_Solo_F1B_Senior_Advanced[[#This Row],[J3 TOTAL]]+Twirling_Solo_F1B_Senior_Advanced[[#This Row],[J4 TOTAL]])+Twirling_Solo_F1B_Senior_Advanced[[#This Row],[J5 TOTAL]]</f>
        <v>47</v>
      </c>
      <c r="AD3" s="25"/>
      <c r="AE3" s="25"/>
      <c r="AF3" s="25">
        <f>SUM(Twirling_Solo_F1B_Senior_Advanced[[#This Row],[Total]]-Twirling_Solo_F1B_Senior_Advanced[[#This Row],[Low]]-Twirling_Solo_F1B_Senior_Advanced[[#This Row],[High]])</f>
        <v>47</v>
      </c>
      <c r="AG3" s="25">
        <f>AVERAGE(I3,M3,Q3,U3,Y3)</f>
        <v>15.866666666666665</v>
      </c>
      <c r="AH3" s="26">
        <f>Twirling_Solo_F1B_Senior_Advanced[[#This Row],[Final Total]]</f>
        <v>47</v>
      </c>
      <c r="AI3" s="27">
        <f>COUNTIFS(Twirling_Solo_F1B_Senior_Advanced[Age
Division],Twirling_Solo_F1B_Senior_Advanced[[#This Row],[Age
Division]],Twirling_Solo_F1B_Senior_Advanced[Category],Twirling_Solo_F1B_Senior_Advanced[[#This Row],[Category]],Twirling_Solo_F1B_Senior_Advanced[FINAL SCORE],"&gt;"&amp;Twirling_Solo_F1B_Senior_Advanced[[#This Row],[FINAL SCORE]])+1</f>
        <v>2</v>
      </c>
      <c r="AJ3" s="18" t="s">
        <v>33</v>
      </c>
    </row>
    <row r="4" spans="1:55" ht="15.6" x14ac:dyDescent="0.3">
      <c r="A4" s="18">
        <v>35</v>
      </c>
      <c r="B4" s="19">
        <v>1</v>
      </c>
      <c r="C4" s="19" t="s">
        <v>42</v>
      </c>
      <c r="D4" s="19" t="s">
        <v>29</v>
      </c>
      <c r="E4" s="19" t="s">
        <v>56</v>
      </c>
      <c r="F4" s="31" t="s">
        <v>112</v>
      </c>
      <c r="G4" s="19" t="s">
        <v>73</v>
      </c>
      <c r="H4" s="20" t="s">
        <v>28</v>
      </c>
      <c r="I4" s="21">
        <v>13.1</v>
      </c>
      <c r="J4" s="22">
        <v>0.4</v>
      </c>
      <c r="K4" s="23">
        <f>Twirling_Solo_F1B_Senior_Advanced[[#This Row],[Judge 1
Tamara Beljak]]-J4</f>
        <v>12.7</v>
      </c>
      <c r="L4" s="24">
        <f>COUNTIFS(Twirling_Solo_F1B_Senior_Advanced[Age
Division],Twirling_Solo_F1B_Senior_Advanced[[#This Row],[Age
Division]],Twirling_Solo_F1B_Senior_Advanced[Category],Twirling_Solo_F1B_Senior_Advanced[[#This Row],[Category]],Twirling_Solo_F1B_Senior_Advanced[J1 TOTAL],"&gt;"&amp;Twirling_Solo_F1B_Senior_Advanced[[#This Row],[J1 TOTAL]])+1</f>
        <v>3</v>
      </c>
      <c r="M4" s="21"/>
      <c r="N4" s="22"/>
      <c r="O4" s="23">
        <f>Twirling_Solo_F1B_Senior_Advanced[[#This Row],[Judge 2
Tihomir Bendelja]]-Twirling_Solo_F1B_Senior_Advanced[[#This Row],[J2 (-)]]</f>
        <v>0</v>
      </c>
      <c r="P4" s="24">
        <f>COUNTIFS(Twirling_Solo_F1B_Senior_Advanced[Age
Division],Twirling_Solo_F1B_Senior_Advanced[[#This Row],[Age
Division]],Twirling_Solo_F1B_Senior_Advanced[Category],Twirling_Solo_F1B_Senior_Advanced[[#This Row],[Category]],Twirling_Solo_F1B_Senior_Advanced[J2 TOTAL],"&gt;"&amp;Twirling_Solo_F1B_Senior_Advanced[[#This Row],[J2 TOTAL]])+1</f>
        <v>1</v>
      </c>
      <c r="Q4" s="21"/>
      <c r="R4" s="22"/>
      <c r="S4" s="23">
        <f>Twirling_Solo_F1B_Senior_Advanced[[#This Row],[Judge 3
Tea Softić]]-R4</f>
        <v>0</v>
      </c>
      <c r="T4" s="24">
        <f>COUNTIFS(Twirling_Solo_F1B_Senior_Advanced[Age
Division],Twirling_Solo_F1B_Senior_Advanced[[#This Row],[Age
Division]],Twirling_Solo_F1B_Senior_Advanced[Category],Twirling_Solo_F1B_Senior_Advanced[[#This Row],[Category]],Twirling_Solo_F1B_Senior_Advanced[J3 TOTAL],"&gt;"&amp;Twirling_Solo_F1B_Senior_Advanced[[#This Row],[J3 TOTAL]])+1</f>
        <v>1</v>
      </c>
      <c r="U4" s="21">
        <v>16.3</v>
      </c>
      <c r="V4" s="22">
        <v>0.4</v>
      </c>
      <c r="W4" s="23">
        <f>Twirling_Solo_F1B_Senior_Advanced[[#This Row],[Judge 4
Bernard Barač]]-V4</f>
        <v>15.9</v>
      </c>
      <c r="X4" s="24">
        <f>COUNTIFS(Twirling_Solo_F1B_Senior_Advanced[Age
Division],Twirling_Solo_F1B_Senior_Advanced[[#This Row],[Age
Division]],Twirling_Solo_F1B_Senior_Advanced[Category],Twirling_Solo_F1B_Senior_Advanced[[#This Row],[Category]],Twirling_Solo_F1B_Senior_Advanced[J4 TOTAL],"&gt;"&amp;Twirling_Solo_F1B_Senior_Advanced[[#This Row],[J4 TOTAL]])+1</f>
        <v>3</v>
      </c>
      <c r="Y4" s="21">
        <v>14.8</v>
      </c>
      <c r="Z4" s="22">
        <v>0.4</v>
      </c>
      <c r="AA4" s="23">
        <f>Twirling_Solo_F1B_Senior_Advanced[[#This Row],[Judge 5
Barbara Novina]]-Z4</f>
        <v>14.4</v>
      </c>
      <c r="AB4" s="24">
        <f>COUNTIFS(Twirling_Solo_F1B_Senior_Advanced[Age
Division],Twirling_Solo_F1B_Senior_Advanced[[#This Row],[Age
Division]],Twirling_Solo_F1B_Senior_Advanced[Category],Twirling_Solo_F1B_Senior_Advanced[[#This Row],[Category]],Twirling_Solo_F1B_Senior_Advanced[J5 TOTAL],"&gt;"&amp;Twirling_Solo_F1B_Senior_Advanced[[#This Row],[J5 TOTAL]])+1</f>
        <v>3</v>
      </c>
      <c r="AC4" s="25">
        <f>SUM(Twirling_Solo_F1B_Senior_Advanced[[#This Row],[J1 TOTAL]]+Twirling_Solo_F1B_Senior_Advanced[[#This Row],[J2 TOTAL]]+Twirling_Solo_F1B_Senior_Advanced[[#This Row],[J3 TOTAL]]+Twirling_Solo_F1B_Senior_Advanced[[#This Row],[J4 TOTAL]])+Twirling_Solo_F1B_Senior_Advanced[[#This Row],[J5 TOTAL]]</f>
        <v>43</v>
      </c>
      <c r="AD4" s="25"/>
      <c r="AE4" s="25"/>
      <c r="AF4" s="25">
        <f>SUM(Twirling_Solo_F1B_Senior_Advanced[[#This Row],[Total]]-Twirling_Solo_F1B_Senior_Advanced[[#This Row],[Low]]-Twirling_Solo_F1B_Senior_Advanced[[#This Row],[High]])</f>
        <v>43</v>
      </c>
      <c r="AG4" s="25">
        <f>AVERAGE(I4,M4,Q4,U4,Y4)</f>
        <v>14.733333333333334</v>
      </c>
      <c r="AH4" s="26">
        <f>Twirling_Solo_F1B_Senior_Advanced[[#This Row],[Final Total]]</f>
        <v>43</v>
      </c>
      <c r="AI4" s="28">
        <f>COUNTIFS(Twirling_Solo_F1B_Senior_Advanced[Age
Division],Twirling_Solo_F1B_Senior_Advanced[[#This Row],[Age
Division]],Twirling_Solo_F1B_Senior_Advanced[Category],Twirling_Solo_F1B_Senior_Advanced[[#This Row],[Category]],Twirling_Solo_F1B_Senior_Advanced[FINAL SCORE],"&gt;"&amp;Twirling_Solo_F1B_Senior_Advanced[[#This Row],[FINAL SCORE]])+1</f>
        <v>3</v>
      </c>
      <c r="AJ4" s="18" t="s">
        <v>33</v>
      </c>
    </row>
    <row r="5" spans="1:55" ht="15.6" x14ac:dyDescent="0.3">
      <c r="A5" s="18">
        <v>33</v>
      </c>
      <c r="B5" s="19">
        <v>1</v>
      </c>
      <c r="C5" s="19" t="s">
        <v>42</v>
      </c>
      <c r="D5" s="19" t="s">
        <v>29</v>
      </c>
      <c r="E5" s="19" t="s">
        <v>56</v>
      </c>
      <c r="F5" s="31" t="s">
        <v>72</v>
      </c>
      <c r="G5" s="19" t="s">
        <v>73</v>
      </c>
      <c r="H5" s="20" t="s">
        <v>28</v>
      </c>
      <c r="I5" s="21">
        <v>12.4</v>
      </c>
      <c r="J5" s="22">
        <v>1.1000000000000001</v>
      </c>
      <c r="K5" s="23">
        <f>Twirling_Solo_F1B_Senior_Advanced[[#This Row],[Judge 1
Tamara Beljak]]-J5</f>
        <v>11.3</v>
      </c>
      <c r="L5" s="24">
        <f>COUNTIFS(Twirling_Solo_F1B_Senior_Advanced[Age
Division],Twirling_Solo_F1B_Senior_Advanced[[#This Row],[Age
Division]],Twirling_Solo_F1B_Senior_Advanced[Category],Twirling_Solo_F1B_Senior_Advanced[[#This Row],[Category]],Twirling_Solo_F1B_Senior_Advanced[J1 TOTAL],"&gt;"&amp;Twirling_Solo_F1B_Senior_Advanced[[#This Row],[J1 TOTAL]])+1</f>
        <v>4</v>
      </c>
      <c r="M5" s="21"/>
      <c r="N5" s="22"/>
      <c r="O5" s="23">
        <f>Twirling_Solo_F1B_Senior_Advanced[[#This Row],[Judge 2
Tihomir Bendelja]]-Twirling_Solo_F1B_Senior_Advanced[[#This Row],[J2 (-)]]</f>
        <v>0</v>
      </c>
      <c r="P5" s="24">
        <f>COUNTIFS(Twirling_Solo_F1B_Senior_Advanced[Age
Division],Twirling_Solo_F1B_Senior_Advanced[[#This Row],[Age
Division]],Twirling_Solo_F1B_Senior_Advanced[Category],Twirling_Solo_F1B_Senior_Advanced[[#This Row],[Category]],Twirling_Solo_F1B_Senior_Advanced[J2 TOTAL],"&gt;"&amp;Twirling_Solo_F1B_Senior_Advanced[[#This Row],[J2 TOTAL]])+1</f>
        <v>1</v>
      </c>
      <c r="Q5" s="21"/>
      <c r="R5" s="22"/>
      <c r="S5" s="23">
        <f>Twirling_Solo_F1B_Senior_Advanced[[#This Row],[Judge 3
Tea Softić]]-R5</f>
        <v>0</v>
      </c>
      <c r="T5" s="24">
        <f>COUNTIFS(Twirling_Solo_F1B_Senior_Advanced[Age
Division],Twirling_Solo_F1B_Senior_Advanced[[#This Row],[Age
Division]],Twirling_Solo_F1B_Senior_Advanced[Category],Twirling_Solo_F1B_Senior_Advanced[[#This Row],[Category]],Twirling_Solo_F1B_Senior_Advanced[J3 TOTAL],"&gt;"&amp;Twirling_Solo_F1B_Senior_Advanced[[#This Row],[J3 TOTAL]])+1</f>
        <v>1</v>
      </c>
      <c r="U5" s="21">
        <v>16.5</v>
      </c>
      <c r="V5" s="22">
        <v>1.1000000000000001</v>
      </c>
      <c r="W5" s="23">
        <f>Twirling_Solo_F1B_Senior_Advanced[[#This Row],[Judge 4
Bernard Barač]]-V5</f>
        <v>15.4</v>
      </c>
      <c r="X5" s="24">
        <f>COUNTIFS(Twirling_Solo_F1B_Senior_Advanced[Age
Division],Twirling_Solo_F1B_Senior_Advanced[[#This Row],[Age
Division]],Twirling_Solo_F1B_Senior_Advanced[Category],Twirling_Solo_F1B_Senior_Advanced[[#This Row],[Category]],Twirling_Solo_F1B_Senior_Advanced[J4 TOTAL],"&gt;"&amp;Twirling_Solo_F1B_Senior_Advanced[[#This Row],[J4 TOTAL]])+1</f>
        <v>4</v>
      </c>
      <c r="Y5" s="21">
        <v>13.6</v>
      </c>
      <c r="Z5" s="22">
        <v>1.1000000000000001</v>
      </c>
      <c r="AA5" s="23">
        <f>Twirling_Solo_F1B_Senior_Advanced[[#This Row],[Judge 5
Barbara Novina]]-Z5</f>
        <v>12.5</v>
      </c>
      <c r="AB5" s="24">
        <f>COUNTIFS(Twirling_Solo_F1B_Senior_Advanced[Age
Division],Twirling_Solo_F1B_Senior_Advanced[[#This Row],[Age
Division]],Twirling_Solo_F1B_Senior_Advanced[Category],Twirling_Solo_F1B_Senior_Advanced[[#This Row],[Category]],Twirling_Solo_F1B_Senior_Advanced[J5 TOTAL],"&gt;"&amp;Twirling_Solo_F1B_Senior_Advanced[[#This Row],[J5 TOTAL]])+1</f>
        <v>4</v>
      </c>
      <c r="AC5" s="25">
        <f>SUM(Twirling_Solo_F1B_Senior_Advanced[[#This Row],[J1 TOTAL]]+Twirling_Solo_F1B_Senior_Advanced[[#This Row],[J2 TOTAL]]+Twirling_Solo_F1B_Senior_Advanced[[#This Row],[J3 TOTAL]]+Twirling_Solo_F1B_Senior_Advanced[[#This Row],[J4 TOTAL]])+Twirling_Solo_F1B_Senior_Advanced[[#This Row],[J5 TOTAL]]</f>
        <v>39.200000000000003</v>
      </c>
      <c r="AD5" s="25"/>
      <c r="AE5" s="25"/>
      <c r="AF5" s="25">
        <f>SUM(Twirling_Solo_F1B_Senior_Advanced[[#This Row],[Total]]-Twirling_Solo_F1B_Senior_Advanced[[#This Row],[Low]]-Twirling_Solo_F1B_Senior_Advanced[[#This Row],[High]])</f>
        <v>39.200000000000003</v>
      </c>
      <c r="AG5" s="25">
        <f>AVERAGE(I5,M5,Q5,U5,Y5)</f>
        <v>14.166666666666666</v>
      </c>
      <c r="AH5" s="26">
        <f>Twirling_Solo_F1B_Senior_Advanced[[#This Row],[Final Total]]</f>
        <v>39.200000000000003</v>
      </c>
      <c r="AI5" s="28">
        <f>COUNTIFS(Twirling_Solo_F1B_Senior_Advanced[Age
Division],Twirling_Solo_F1B_Senior_Advanced[[#This Row],[Age
Division]],Twirling_Solo_F1B_Senior_Advanced[Category],Twirling_Solo_F1B_Senior_Advanced[[#This Row],[Category]],Twirling_Solo_F1B_Senior_Advanced[FINAL SCORE],"&gt;"&amp;Twirling_Solo_F1B_Senior_Advanced[[#This Row],[FINAL SCORE]])+1</f>
        <v>4</v>
      </c>
      <c r="AJ5" s="18" t="s">
        <v>33</v>
      </c>
    </row>
  </sheetData>
  <sheetProtection algorithmName="SHA-512" hashValue="Au4Xe6VrKNLf0yA+Gyoaab/hajYJ2Pj2nIFdck1E8I1DpaaNcq+j/bxGj6eKk9IKFO/aLmda1JLK0u1kYKpKDA==" saltValue="aMlWak6tPXHsC42GZ4nAU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4BF3A-185C-444A-BC99-4C640E89ECE6}">
  <sheetPr codeName="Sheet11"/>
  <dimension ref="A1:BC4"/>
  <sheetViews>
    <sheetView zoomScale="80" zoomScaleNormal="80" workbookViewId="0">
      <pane xSplit="8" topLeftCell="I1" activePane="topRight" state="frozen"/>
      <selection activeCell="V26" sqref="V26"/>
      <selection pane="topRight" sqref="A1:XFD1048576"/>
    </sheetView>
  </sheetViews>
  <sheetFormatPr defaultColWidth="9.109375" defaultRowHeight="14.4" x14ac:dyDescent="0.3"/>
  <cols>
    <col min="1" max="1" width="5.44140625" style="29" customWidth="1"/>
    <col min="2" max="2" width="4.44140625" style="29" customWidth="1"/>
    <col min="3" max="3" width="12.109375" style="29" bestFit="1" customWidth="1"/>
    <col min="4" max="4" width="8.44140625" style="30" customWidth="1"/>
    <col min="5" max="5" width="9.5546875" style="30" bestFit="1" customWidth="1"/>
    <col min="6" max="6" width="13.77734375" style="20" bestFit="1" customWidth="1"/>
    <col min="7" max="7" width="43.33203125" style="20" bestFit="1" customWidth="1"/>
    <col min="8" max="8" width="9.6640625" style="20" bestFit="1" customWidth="1"/>
    <col min="9" max="12" width="9.109375" style="20" customWidth="1"/>
    <col min="13" max="20" width="9.109375" style="20" hidden="1" customWidth="1"/>
    <col min="21" max="28" width="9.109375" style="20" customWidth="1"/>
    <col min="29" max="29" width="9.109375" style="16" customWidth="1"/>
    <col min="30" max="31" width="9.6640625" style="20" hidden="1" customWidth="1"/>
    <col min="32" max="33" width="9.6640625" style="20" customWidth="1"/>
    <col min="34" max="34" width="7.5546875" style="20" customWidth="1"/>
    <col min="35" max="35" width="8.44140625" style="20" customWidth="1"/>
    <col min="36" max="36" width="0" style="20" hidden="1" customWidth="1"/>
    <col min="37" max="16384" width="9.109375" style="20"/>
  </cols>
  <sheetData>
    <row r="1" spans="1:55" s="17" customFormat="1" ht="40.5" customHeight="1" x14ac:dyDescent="0.3">
      <c r="A1" s="7" t="s">
        <v>19</v>
      </c>
      <c r="B1" s="7" t="s">
        <v>0</v>
      </c>
      <c r="C1" s="8" t="s">
        <v>20</v>
      </c>
      <c r="D1" s="9" t="s">
        <v>21</v>
      </c>
      <c r="E1" s="9" t="s">
        <v>1</v>
      </c>
      <c r="F1" s="10" t="s">
        <v>2</v>
      </c>
      <c r="G1" s="10" t="s">
        <v>3</v>
      </c>
      <c r="H1" s="10" t="s">
        <v>4</v>
      </c>
      <c r="I1" s="11" t="s">
        <v>5</v>
      </c>
      <c r="J1" s="11" t="s">
        <v>6</v>
      </c>
      <c r="K1" s="11" t="s">
        <v>40</v>
      </c>
      <c r="L1" s="11" t="s">
        <v>7</v>
      </c>
      <c r="M1" s="12" t="s">
        <v>8</v>
      </c>
      <c r="N1" s="12" t="s">
        <v>9</v>
      </c>
      <c r="O1" s="12" t="s">
        <v>37</v>
      </c>
      <c r="P1" s="12" t="s">
        <v>10</v>
      </c>
      <c r="Q1" s="11" t="s">
        <v>119</v>
      </c>
      <c r="R1" s="11" t="s">
        <v>11</v>
      </c>
      <c r="S1" s="11" t="s">
        <v>38</v>
      </c>
      <c r="T1" s="11" t="s">
        <v>12</v>
      </c>
      <c r="U1" s="12" t="s">
        <v>22</v>
      </c>
      <c r="V1" s="12" t="s">
        <v>13</v>
      </c>
      <c r="W1" s="12" t="s">
        <v>39</v>
      </c>
      <c r="X1" s="12" t="s">
        <v>14</v>
      </c>
      <c r="Y1" s="11" t="s">
        <v>120</v>
      </c>
      <c r="Z1" s="11" t="s">
        <v>121</v>
      </c>
      <c r="AA1" s="11" t="s">
        <v>122</v>
      </c>
      <c r="AB1" s="11" t="s">
        <v>123</v>
      </c>
      <c r="AC1" s="13" t="s">
        <v>16</v>
      </c>
      <c r="AD1" s="13" t="s">
        <v>34</v>
      </c>
      <c r="AE1" s="13" t="s">
        <v>35</v>
      </c>
      <c r="AF1" s="13" t="s">
        <v>36</v>
      </c>
      <c r="AG1" s="13" t="s">
        <v>15</v>
      </c>
      <c r="AH1" s="14" t="s">
        <v>17</v>
      </c>
      <c r="AI1" s="15" t="s">
        <v>18</v>
      </c>
      <c r="AJ1" s="14" t="s">
        <v>41</v>
      </c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</row>
    <row r="2" spans="1:55" ht="15.6" x14ac:dyDescent="0.3">
      <c r="A2" s="18">
        <v>38</v>
      </c>
      <c r="B2" s="19">
        <v>1</v>
      </c>
      <c r="C2" s="19" t="s">
        <v>76</v>
      </c>
      <c r="D2" s="19" t="s">
        <v>27</v>
      </c>
      <c r="E2" s="19" t="s">
        <v>142</v>
      </c>
      <c r="F2" s="19" t="s">
        <v>59</v>
      </c>
      <c r="G2" s="19" t="s">
        <v>49</v>
      </c>
      <c r="H2" s="20" t="s">
        <v>25</v>
      </c>
      <c r="I2" s="21">
        <v>28.6</v>
      </c>
      <c r="J2" s="22">
        <v>0</v>
      </c>
      <c r="K2" s="23">
        <f>Twirling_Solo_F2B_Junior_Upper_Level[[#This Row],[Judge 1
Tamara Beljak]]-J2</f>
        <v>28.6</v>
      </c>
      <c r="L2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Row],[Category]],Twirling_Solo_F2B_Junior_Upper_Level[J1 TOTAL],"&gt;"&amp;Twirling_Solo_F2B_Junior_Upper_Level[[#This Row],[J1 TOTAL]])+1</f>
        <v>1</v>
      </c>
      <c r="M2" s="21"/>
      <c r="N2" s="22"/>
      <c r="O2" s="23">
        <f>Twirling_Solo_F2B_Junior_Upper_Level[[#This Row],[Judge 2
Tihomir Bendelja]]-Twirling_Solo_F2B_Junior_Upper_Level[[#This Row],[J2 (-)]]</f>
        <v>0</v>
      </c>
      <c r="P2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Row],[Category]],Twirling_Solo_F2B_Junior_Upper_Level[J2 TOTAL],"&gt;"&amp;Twirling_Solo_F2B_Junior_Upper_Level[[#This Row],[J2 TOTAL]])+1</f>
        <v>1</v>
      </c>
      <c r="Q2" s="21"/>
      <c r="R2" s="22"/>
      <c r="S2" s="23">
        <f>Twirling_Solo_F2B_Junior_Upper_Level[[#This Row],[Judge 3
Tea Softić]]-R2</f>
        <v>0</v>
      </c>
      <c r="T2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Row],[Category]],Twirling_Solo_F2B_Junior_Upper_Level[J3 TOTAL],"&gt;"&amp;Twirling_Solo_F2B_Junior_Upper_Level[[#This Row],[J3 TOTAL]])+1</f>
        <v>1</v>
      </c>
      <c r="U2" s="21">
        <v>30</v>
      </c>
      <c r="V2" s="22">
        <v>0</v>
      </c>
      <c r="W2" s="23">
        <f>Twirling_Solo_F2B_Junior_Upper_Level[[#This Row],[Judge 4
Bernard Barač]]-V2</f>
        <v>30</v>
      </c>
      <c r="X2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Row],[Category]],Twirling_Solo_F2B_Junior_Upper_Level[J4 TOTAL],"&gt;"&amp;Twirling_Solo_F2B_Junior_Upper_Level[[#This Row],[J4 TOTAL]])+1</f>
        <v>1</v>
      </c>
      <c r="Y2" s="21">
        <v>29.6</v>
      </c>
      <c r="Z2" s="22">
        <v>0</v>
      </c>
      <c r="AA2" s="23">
        <f>Twirling_Solo_F2B_Junior_Upper_Level[[#This Row],[Judge 5
Barbara Novina]]-Z2</f>
        <v>29.6</v>
      </c>
      <c r="AB2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Row],[Category]],Twirling_Solo_F2B_Junior_Upper_Level[J5 TOTAL],"&gt;"&amp;Twirling_Solo_F2B_Junior_Upper_Level[[#This Row],[J5 TOTAL]])+1</f>
        <v>1</v>
      </c>
      <c r="AC2" s="25">
        <f>SUM(Twirling_Solo_F2B_Junior_Upper_Level[[#This Row],[J1 TOTAL]]+Twirling_Solo_F2B_Junior_Upper_Level[[#This Row],[J2 TOTAL]]+Twirling_Solo_F2B_Junior_Upper_Level[[#This Row],[J3 TOTAL]]+Twirling_Solo_F2B_Junior_Upper_Level[[#This Row],[J4 TOTAL]])+Twirling_Solo_F2B_Junior_Upper_Level[[#This Row],[J5 TOTAL]]</f>
        <v>88.2</v>
      </c>
      <c r="AD2" s="25"/>
      <c r="AE2" s="25"/>
      <c r="AF2" s="25">
        <f>SUM(Twirling_Solo_F2B_Junior_Upper_Level[[#This Row],[Total]]-Twirling_Solo_F2B_Junior_Upper_Level[[#This Row],[Low]]-Twirling_Solo_F2B_Junior_Upper_Level[[#This Row],[High]])</f>
        <v>88.2</v>
      </c>
      <c r="AG2" s="25">
        <f>AVERAGE(I2,M2,Q2,U2,Y2)</f>
        <v>29.400000000000002</v>
      </c>
      <c r="AH2" s="26">
        <f>Twirling_Solo_F2B_Junior_Upper_Level[[#This Row],[Final Total]]</f>
        <v>88.2</v>
      </c>
      <c r="AI2" s="27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Row],[Category]],Twirling_Solo_F2B_Junior_Upper_Level[FINAL SCORE],"&gt;"&amp;Twirling_Solo_F2B_Junior_Upper_Level[[#This Row],[FINAL SCORE]])+1</f>
        <v>1</v>
      </c>
      <c r="AJ2" s="18" t="s">
        <v>33</v>
      </c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</row>
    <row r="3" spans="1:55" ht="15.6" x14ac:dyDescent="0.3">
      <c r="A3" s="18">
        <v>40</v>
      </c>
      <c r="B3" s="19">
        <v>1</v>
      </c>
      <c r="C3" s="19" t="s">
        <v>76</v>
      </c>
      <c r="D3" s="19" t="s">
        <v>27</v>
      </c>
      <c r="E3" s="19" t="s">
        <v>142</v>
      </c>
      <c r="F3" s="19" t="s">
        <v>58</v>
      </c>
      <c r="G3" s="19" t="s">
        <v>49</v>
      </c>
      <c r="H3" s="20" t="s">
        <v>25</v>
      </c>
      <c r="I3" s="21">
        <v>28.1</v>
      </c>
      <c r="J3" s="22">
        <v>0.1</v>
      </c>
      <c r="K3" s="23">
        <f>Twirling_Solo_F2B_Junior_Upper_Level[[#This Row],[Judge 1
Tamara Beljak]]-J3</f>
        <v>28</v>
      </c>
      <c r="L3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Row],[Category]],Twirling_Solo_F2B_Junior_Upper_Level[J1 TOTAL],"&gt;"&amp;Twirling_Solo_F2B_Junior_Upper_Level[[#This Row],[J1 TOTAL]])+1</f>
        <v>2</v>
      </c>
      <c r="M3" s="21"/>
      <c r="N3" s="22"/>
      <c r="O3" s="23">
        <f>Twirling_Solo_F2B_Junior_Upper_Level[[#This Row],[Judge 2
Tihomir Bendelja]]-Twirling_Solo_F2B_Junior_Upper_Level[[#This Row],[J2 (-)]]</f>
        <v>0</v>
      </c>
      <c r="P3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Row],[Category]],Twirling_Solo_F2B_Junior_Upper_Level[J2 TOTAL],"&gt;"&amp;Twirling_Solo_F2B_Junior_Upper_Level[[#This Row],[J2 TOTAL]])+1</f>
        <v>1</v>
      </c>
      <c r="Q3" s="21"/>
      <c r="R3" s="22"/>
      <c r="S3" s="23">
        <f>Twirling_Solo_F2B_Junior_Upper_Level[[#This Row],[Judge 3
Tea Softić]]-R3</f>
        <v>0</v>
      </c>
      <c r="T3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Row],[Category]],Twirling_Solo_F2B_Junior_Upper_Level[J3 TOTAL],"&gt;"&amp;Twirling_Solo_F2B_Junior_Upper_Level[[#This Row],[J3 TOTAL]])+1</f>
        <v>1</v>
      </c>
      <c r="U3" s="21">
        <v>27.9</v>
      </c>
      <c r="V3" s="22">
        <v>0.1</v>
      </c>
      <c r="W3" s="23">
        <f>Twirling_Solo_F2B_Junior_Upper_Level[[#This Row],[Judge 4
Bernard Barač]]-V3</f>
        <v>27.799999999999997</v>
      </c>
      <c r="X3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Row],[Category]],Twirling_Solo_F2B_Junior_Upper_Level[J4 TOTAL],"&gt;"&amp;Twirling_Solo_F2B_Junior_Upper_Level[[#This Row],[J4 TOTAL]])+1</f>
        <v>2</v>
      </c>
      <c r="Y3" s="21">
        <v>25.7</v>
      </c>
      <c r="Z3" s="22">
        <v>0.1</v>
      </c>
      <c r="AA3" s="23">
        <f>Twirling_Solo_F2B_Junior_Upper_Level[[#This Row],[Judge 5
Barbara Novina]]-Z3</f>
        <v>25.599999999999998</v>
      </c>
      <c r="AB3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Row],[Category]],Twirling_Solo_F2B_Junior_Upper_Level[J5 TOTAL],"&gt;"&amp;Twirling_Solo_F2B_Junior_Upper_Level[[#This Row],[J5 TOTAL]])+1</f>
        <v>2</v>
      </c>
      <c r="AC3" s="25">
        <f>SUM(Twirling_Solo_F2B_Junior_Upper_Level[[#This Row],[J1 TOTAL]]+Twirling_Solo_F2B_Junior_Upper_Level[[#This Row],[J2 TOTAL]]+Twirling_Solo_F2B_Junior_Upper_Level[[#This Row],[J3 TOTAL]]+Twirling_Solo_F2B_Junior_Upper_Level[[#This Row],[J4 TOTAL]])+Twirling_Solo_F2B_Junior_Upper_Level[[#This Row],[J5 TOTAL]]</f>
        <v>81.399999999999991</v>
      </c>
      <c r="AD3" s="25"/>
      <c r="AE3" s="25"/>
      <c r="AF3" s="25">
        <f>SUM(Twirling_Solo_F2B_Junior_Upper_Level[[#This Row],[Total]]-Twirling_Solo_F2B_Junior_Upper_Level[[#This Row],[Low]]-Twirling_Solo_F2B_Junior_Upper_Level[[#This Row],[High]])</f>
        <v>81.399999999999991</v>
      </c>
      <c r="AG3" s="25">
        <f>AVERAGE(I3,M3,Q3,U3,Y3)</f>
        <v>27.233333333333334</v>
      </c>
      <c r="AH3" s="26">
        <f>Twirling_Solo_F2B_Junior_Upper_Level[[#This Row],[Final Total]]</f>
        <v>81.399999999999991</v>
      </c>
      <c r="AI3" s="28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Row],[Category]],Twirling_Solo_F2B_Junior_Upper_Level[FINAL SCORE],"&gt;"&amp;Twirling_Solo_F2B_Junior_Upper_Level[[#This Row],[FINAL SCORE]])+1</f>
        <v>2</v>
      </c>
      <c r="AJ3" s="18" t="s">
        <v>33</v>
      </c>
    </row>
    <row r="4" spans="1:55" ht="15.6" x14ac:dyDescent="0.3">
      <c r="A4" s="18">
        <v>42</v>
      </c>
      <c r="B4" s="19">
        <v>1</v>
      </c>
      <c r="C4" s="19" t="s">
        <v>76</v>
      </c>
      <c r="D4" s="19" t="s">
        <v>27</v>
      </c>
      <c r="E4" s="19" t="s">
        <v>142</v>
      </c>
      <c r="F4" s="19" t="s">
        <v>69</v>
      </c>
      <c r="G4" s="19" t="s">
        <v>49</v>
      </c>
      <c r="H4" s="20" t="s">
        <v>25</v>
      </c>
      <c r="I4" s="21">
        <v>26</v>
      </c>
      <c r="J4" s="22">
        <v>0.6</v>
      </c>
      <c r="K4" s="23">
        <f>Twirling_Solo_F2B_Junior_Upper_Level[[#This Row],[Judge 1
Tamara Beljak]]-J4</f>
        <v>25.4</v>
      </c>
      <c r="L4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Row],[Category]],Twirling_Solo_F2B_Junior_Upper_Level[J1 TOTAL],"&gt;"&amp;Twirling_Solo_F2B_Junior_Upper_Level[[#This Row],[J1 TOTAL]])+1</f>
        <v>3</v>
      </c>
      <c r="M4" s="21"/>
      <c r="N4" s="22"/>
      <c r="O4" s="23">
        <f>Twirling_Solo_F2B_Junior_Upper_Level[[#This Row],[Judge 2
Tihomir Bendelja]]-Twirling_Solo_F2B_Junior_Upper_Level[[#This Row],[J2 (-)]]</f>
        <v>0</v>
      </c>
      <c r="P4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Row],[Category]],Twirling_Solo_F2B_Junior_Upper_Level[J2 TOTAL],"&gt;"&amp;Twirling_Solo_F2B_Junior_Upper_Level[[#This Row],[J2 TOTAL]])+1</f>
        <v>1</v>
      </c>
      <c r="Q4" s="21"/>
      <c r="R4" s="22"/>
      <c r="S4" s="23">
        <f>Twirling_Solo_F2B_Junior_Upper_Level[[#This Row],[Judge 3
Tea Softić]]-R4</f>
        <v>0</v>
      </c>
      <c r="T4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Row],[Category]],Twirling_Solo_F2B_Junior_Upper_Level[J3 TOTAL],"&gt;"&amp;Twirling_Solo_F2B_Junior_Upper_Level[[#This Row],[J3 TOTAL]])+1</f>
        <v>1</v>
      </c>
      <c r="U4" s="21">
        <v>21.8</v>
      </c>
      <c r="V4" s="22">
        <v>0.6</v>
      </c>
      <c r="W4" s="23">
        <f>Twirling_Solo_F2B_Junior_Upper_Level[[#This Row],[Judge 4
Bernard Barač]]-V4</f>
        <v>21.2</v>
      </c>
      <c r="X4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Row],[Category]],Twirling_Solo_F2B_Junior_Upper_Level[J4 TOTAL],"&gt;"&amp;Twirling_Solo_F2B_Junior_Upper_Level[[#This Row],[J4 TOTAL]])+1</f>
        <v>3</v>
      </c>
      <c r="Y4" s="21">
        <v>23.4</v>
      </c>
      <c r="Z4" s="22">
        <v>0.6</v>
      </c>
      <c r="AA4" s="23">
        <f>Twirling_Solo_F2B_Junior_Upper_Level[[#This Row],[Judge 5
Barbara Novina]]-Z4</f>
        <v>22.799999999999997</v>
      </c>
      <c r="AB4" s="24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Row],[Category]],Twirling_Solo_F2B_Junior_Upper_Level[J5 TOTAL],"&gt;"&amp;Twirling_Solo_F2B_Junior_Upper_Level[[#This Row],[J5 TOTAL]])+1</f>
        <v>3</v>
      </c>
      <c r="AC4" s="25">
        <f>SUM(Twirling_Solo_F2B_Junior_Upper_Level[[#This Row],[J1 TOTAL]]+Twirling_Solo_F2B_Junior_Upper_Level[[#This Row],[J2 TOTAL]]+Twirling_Solo_F2B_Junior_Upper_Level[[#This Row],[J3 TOTAL]]+Twirling_Solo_F2B_Junior_Upper_Level[[#This Row],[J4 TOTAL]])+Twirling_Solo_F2B_Junior_Upper_Level[[#This Row],[J5 TOTAL]]</f>
        <v>69.399999999999991</v>
      </c>
      <c r="AD4" s="25"/>
      <c r="AE4" s="25"/>
      <c r="AF4" s="25">
        <f>SUM(Twirling_Solo_F2B_Junior_Upper_Level[[#This Row],[Total]]-Twirling_Solo_F2B_Junior_Upper_Level[[#This Row],[Low]]-Twirling_Solo_F2B_Junior_Upper_Level[[#This Row],[High]])</f>
        <v>69.399999999999991</v>
      </c>
      <c r="AG4" s="25">
        <f>AVERAGE(I4,M4,Q4,U4,Y4)</f>
        <v>23.733333333333331</v>
      </c>
      <c r="AH4" s="26">
        <f>Twirling_Solo_F2B_Junior_Upper_Level[[#This Row],[Final Total]]</f>
        <v>69.399999999999991</v>
      </c>
      <c r="AI4" s="28">
        <f>COUNTIFS(Twirling_Solo_F2B_Junior_Upper_Level[Age
Division],Twirling_Solo_F2B_Junior_Upper_Level[[#This Row],[Age
Division]],Twirling_Solo_F2B_Junior_Upper_Level[Category],Twirling_Solo_F2B_Junior_Upper_Level[[#This Row],[Category]],Twirling_Solo_F2B_Junior_Upper_Level[FINAL SCORE],"&gt;"&amp;Twirling_Solo_F2B_Junior_Upper_Level[[#This Row],[FINAL SCORE]])+1</f>
        <v>3</v>
      </c>
      <c r="AJ4" s="18" t="s">
        <v>33</v>
      </c>
    </row>
  </sheetData>
  <sheetProtection algorithmName="SHA-512" hashValue="OchKSzNsvfWJhEowuAdDw5oo9T2xU37sNl33+JQRQjMYlKcLBvmbhny9PdJMevbO1mVosw9Iftf249gd+2KyaA==" saltValue="WWbZUhjFcguVjOSehaDb/w==" spinCount="100000" sheet="1" objects="1" scenarios="1"/>
  <pageMargins left="0.7" right="0.7" top="0.75" bottom="0.75" header="0.3" footer="0.3"/>
  <pageSetup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7 9 6 8 c 4 0 - e f 6 4 - 4 5 3 2 - 8 d a f - a e e b d d 3 f 9 3 e 5 "   x m l n s = " h t t p : / / s c h e m a s . m i c r o s o f t . c o m / D a t a M a s h u p " > A A A A A L A G A A B Q S w M E F A A C A A g A q 6 v H V n v v M h m l A A A A 9 g A A A B I A H A B D b 2 5 m a W c v U G F j a 2 F n Z S 5 4 b W w g o h g A K K A U A A A A A A A A A A A A A A A A A A A A A A A A A A A A h Y 8 9 D o I w A I W v Q r r T P x I 1 p J T B x U E S o 4 l x b U q F R i i m L Z a 7 O X g k r y B G U T f H 9 7 1 v e O 9 + v b F 8 a J v o o q z T n c k A g R h E y s i u 1 K b K Q O + P 8 Q L k n G 2 E P I l K R a N s X D q 4 M g O 1 9 + c U o R A C D A n s b I U o x g Q d i v V O 1 q o V 4 C P r / 3 K s j f P C S A U 4 2 7 / G c A o J m c N k R i F m a I K s 0 O Y r 0 H H v s / 2 B b N k 3 v r e K 1 z Z e b R m a I k P v D / w B U E s D B B Q A A g A I A K u r x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q 8 d W P Q 9 Y D q k D A A C Q E w A A E w A c A E Z v c m 1 1 b G F z L 1 N l Y 3 R p b 2 4 x L m 0 g o h g A K K A U A A A A A A A A A A A A A A A A A A A A A A A A A A A A 7 V h L b 9 p A E L 4 j 8 R 9 W R o p A I k i 8 e m j U A 6 + 0 q R C 0 4 K q H K E I L H s C N v Y u W N U k U 9 d x T / 1 V + W P d h j L F x W P e a 5 I D X 8 8 0 3 M 7 v 7 7 a y V L S y 4 S w m a 6 m f 9 q l g o F r Z r z M B B J e t 7 A O w J d Y Z D C 3 1 C H v B i A Y m / K Q 3 Y A o R l 8 L g A r 9 Y L G A P C f 1 J 2 P 6 f 0 v l y p a r e S d e 1 6 H G S k C X 3 Y y h A 2 n n t Q m 4 I n s k l b W Y e q I s C L N S r f j r A P d 8 L P s h 9 c 5 r l k N e s H w N V P H 5 M F z H r Y E e 9 D + g B s N o Q d e B a i D B n w 1 q 7 n i C o N 3 b 8 G x K X s P / K E x B + b T U 7 i F E w z f m Y 0 2 M z 2 r / p N L U s u w p n 1 O M X R J Z o x b M C + + W Z l c g 3 W 8 R Q 3 1 + Q U x X z D T 5 D N 9 2 5 K P T q 7 r n f D 6 X V h 5 R I C m W u a c L 8 h 4 j T 5 4 L i Y w 3 n K m U W I H M O p d 5 y d F K J j 6 m 9 c e + i f q / h w R Y 1 r C v 3 N c z S 6 5 u q M G O Y i S V I M d B x R c q p J / s R 7 o 9 G + J E n G C x c j m u j r 4 J 5 H Z S l W z j n l V V y K + Y 3 R J W y 3 4 j 7 E p o u f R 7 E p V s 7 5 5 V V 7 i n k 0 v 8 r h v h 4 8 b j B x x H 3 d o y I 2 4 Y c r W y N q 3 K N e 4 J N y 8 n a v I m v P q q J n a 8 o x 4 2 h E a x I Y Y g L K Q V S 6 o u x J j j s r K J W 9 Z a X v 7 l x Z i f J T a p c g X 4 u v D c 3 x g r k O H h C u q V 8 D Z w W o r u g 2 9 j H D q A v e L 3 y v w D o q X 1 b C k T 2 2 O 8 O 9 d Y L J f e X A b 2 i + u 6 a + y 0 Q A M X E R Q + G N K E Q j F q K R C t H U I Q C L T 6 I l d 1 / + K K g Z s Z s x d j P F b i l 2 F x j B z E F d M Y 2 X v w p t R Q F a s Q C t V I C 2 D o D Z X C 7 B i O 5 c o u t v R w H a s Q D t W A C b c q x W W r Q Z + f j i r t b y e S 1 C e C h C O 7 u V s t 6 M O k M 0 7 Y 0 n A / k q o 8 S 3 E 9 l P G 7 B + v 2 / 7 m 9 z 2 Q / u Y A G W O 6 g i 6 R 8 Q + + U M o t J d P t J r q s y X b l 0 z w L q I 3 L K L e G p O V 0 I W y R / q x G S b b J W W + V p A E p Y r S i q s + H z c h c U l + a N W k v + p P o Z o S 1 v g O J 6 F G N t T M h l r Z U D s b e k W b X D g h E v h z Y F H J a p 9 O A P t t S 0 G v a z f l 3 s h K 0 T i T 4 p S 2 U 5 7 N r O j N M 9 E z t J 9 y b m U l a J 1 J k H E 2 U s 7 t r A T t z A T 7 0 5 G 0 6 6 O U t I Y n K 2 k + P m h J V J + 7 F O f o G C b R 8 F Q m 9 H h 8 R k M W h 0 d + h K a A E 9 3 5 2 G H f q h O 0 q G 8 n 8 u g m n j B G H f 1 g j z W R j q O u l m D L q X 9 o I s I a f b w e t R n Z j 8 a j 6 X h 4 0 + / Y g 7 4 V / j / q d j / F u w s L W R e 3 p f T U Q k T N S I w v x T i c h 3 j 7 K C F Z v h h X 1 V h X f V c p F l x y s t a r f 1 B L A Q I t A B Q A A g A I A K u r x 1 Z 7 7 z I Z p Q A A A P Y A A A A S A A A A A A A A A A A A A A A A A A A A A A B D b 2 5 m a W c v U G F j a 2 F n Z S 5 4 b W x Q S w E C L Q A U A A I A C A C r q 8 d W D 8 r p q 6 Q A A A D p A A A A E w A A A A A A A A A A A A A A A A D x A A A A W 0 N v b n R l b n R f V H l w Z X N d L n h t b F B L A Q I t A B Q A A g A I A K u r x 1 Y 9 D 1 g O q Q M A A J A T A A A T A A A A A A A A A A A A A A A A A O I B A A B G b 3 J t d W x h c y 9 T Z W N 0 a W 9 u M S 5 t U E s F B g A A A A A D A A M A w g A A A N g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4 f A A A A A A A A H B 8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F 1 Z X J 5 J T I w Q U x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R h Y m x l X 1 F 1 Z X J 5 X 0 F M T C I g L z 4 8 R W 5 0 c n k g V H l w Z T 0 i R m l s b G V k Q 2 9 t c G x l d G V S Z X N 1 b H R U b 1 d v c m t z a G V l d C I g V m F s d W U 9 I m w x I i A v P j x F b n R y e S B U e X B l P S J G a W x s Q 2 9 1 b n Q i I F Z h b H V l P S J s M T c 2 I i A v P j x F b n R y e S B U e X B l P S J G a W x s R X J y b 3 J D b 2 R l I i B W Y W x 1 Z T 0 i c 1 V u a 2 5 v d 2 4 i I C 8 + P E V u d H J 5 I F R 5 c G U 9 I k Z p b G x F c n J v c k N v d W 5 0 I i B W Y W x 1 Z T 0 i b D M i I C 8 + P E V u d H J 5 I F R 5 c G U 9 I k Z p b G x M Y X N 0 V X B k Y X R l Z C I g V m F s d W U 9 I m Q y M D I z L T A 2 L T A 3 V D E 5 O j I 5 O j I z L j c 0 N D g x N T V a I i A v P j x F b n R y e S B U e X B l P S J G a W x s Q 2 9 s d W 1 u V H l w Z X M i I F Z h b H V l P S J z Q m d N R E J n W U d C Z 1 l H Q l F V R k F 3 V U Z C U U 1 G Q l F V R E J R V U Z B d 1 V G Q l F N R k J R V U Z C U V V E Q m d B P S I g L z 4 8 R W 5 0 c n k g V H l w Z T 0 i R m l s b E N v b H V t b k 5 h b W V z I i B W Y W x 1 Z T 0 i c 1 s m c X V v d D t O Y W 1 l J n F 1 b 3 Q 7 L C Z x d W 9 0 O 1 N 0 Y X J 0 I E 5 v L i Z x d W 9 0 O y w m c X V v d D t M Y W 5 l J n F 1 b 3 Q 7 L C Z x d W 9 0 O 0 N h d G V n b 3 J 5 J n F 1 b 3 Q 7 L C Z x d W 9 0 O 0 F n Z V x u R G l 2 a X N p b 2 4 m c X V v d D s s J n F 1 b 3 Q 7 T G V 2 Z W w m c X V v d D s s J n F 1 b 3 Q 7 Q X R o b G V 0 Z S Z x d W 9 0 O y w m c X V v d D t D b H V i J n F 1 b 3 Q 7 L C Z x d W 9 0 O 0 N v d W 5 0 c n k m c X V v d D s s J n F 1 b 3 Q 7 S n V k Z 2 U g M V x u V G F t Y X J h I E J l b G p h a y Z x d W 9 0 O y w m c X V v d D t K M S A o L S k m c X V v d D s s J n F 1 b 3 Q 7 S j E g V E 9 U Q U w m c X V v d D s s J n F 1 b 3 Q 7 S j E g K F J h b m s p J n F 1 b 3 Q 7 L C Z x d W 9 0 O 0 p 1 Z G d l I D J c b l R p a G 9 t a X I g Q m V u Z G V s a m E m c X V v d D s s J n F 1 b 3 Q 7 S j I g K C 0 p J n F 1 b 3 Q 7 L C Z x d W 9 0 O 0 o y I F R P V E F M J n F 1 b 3 Q 7 L C Z x d W 9 0 O 0 o y I C h S Y W 5 r K S Z x d W 9 0 O y w m c X V v d D t K d W R n Z S A z X G 5 U Z W E g U 2 9 m d G n E h y Z x d W 9 0 O y w m c X V v d D t K M y A o L S k m c X V v d D s s J n F 1 b 3 Q 7 S j M g V E 9 U Q U w m c X V v d D s s J n F 1 b 3 Q 7 S j M g K F J h b m s p J n F 1 b 3 Q 7 L C Z x d W 9 0 O 0 p 1 Z G d l I D R c b k J l c m 5 h c m Q g Q m F y Y c S N J n F 1 b 3 Q 7 L C Z x d W 9 0 O 0 o 0 I C g t K S Z x d W 9 0 O y w m c X V v d D t K N C B U T 1 R B T C Z x d W 9 0 O y w m c X V v d D t K N C A o U m F u a y k m c X V v d D s s J n F 1 b 3 Q 7 S n V k Z 2 U g N V x u Q m F y Y m F y Y S B O b 3 Z p b m E m c X V v d D s s J n F 1 b 3 Q 7 S j U g K C 0 p J n F 1 b 3 Q 7 L C Z x d W 9 0 O 0 o 1 I F R P V E F M J n F 1 b 3 Q 7 L C Z x d W 9 0 O 0 o 1 I C h S Y W 5 r K S Z x d W 9 0 O y w m c X V v d D t U b 3 R h b C Z x d W 9 0 O y w m c X V v d D t M b 3 c m c X V v d D s s J n F 1 b 3 Q 7 S G l n a C Z x d W 9 0 O y w m c X V v d D t G a W 5 h b C B U b 3 R h b C Z x d W 9 0 O y w m c X V v d D t B d m c m c X V v d D s s J n F 1 b 3 Q 7 R k l O Q U w g U 0 N P U k U m c X V v d D s s J n F 1 b 3 Q 7 U m F u a y Z x d W 9 0 O y w m c X V v d D t D Y X R l Z 2 9 y e S B U e X B l J n F 1 b 3 Q 7 L C Z x d W 9 0 O 0 N P T l N P T E l E Q V R F R C Z x d W 9 0 O 1 0 i I C 8 + P E V u d H J 5 I F R 5 c G U 9 I l F 1 Z X J 5 S U Q i I F Z h b H V l P S J z O D c 2 N j Y 2 Z T k t Z j Y 4 O C 0 0 Z j k x L W E w M z c t Y 2 J m Y T I 2 Z T M y Z m Y 0 I i A v P j x F b n R y e S B U e X B l P S J B Z G R l Z F R v R G F 0 Y U 1 v Z G V s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S B B T E w v U 2 9 1 c m N l L n t O Y W 1 l L D F 9 J n F 1 b 3 Q 7 L C Z x d W 9 0 O 1 N l Y 3 R p b 2 4 x L 1 F 1 Z X J 5 I E F M T C 9 D a G F u Z 2 V k I F R 5 c G U u e 1 N 0 Y X J 0 I E 5 v L i w x f S Z x d W 9 0 O y w m c X V v d D t T Z W N 0 a W 9 u M S 9 R d W V y e S B B T E w v Q 2 h h b m d l Z C B U e X B l L n t M Y W 5 l L D J 9 J n F 1 b 3 Q 7 L C Z x d W 9 0 O 1 N l Y 3 R p b 2 4 x L 1 F 1 Z X J 5 I E F M T C 9 D a G F u Z 2 V k I F R 5 c G U u e 0 N h d G V n b 3 J 5 L D N 9 J n F 1 b 3 Q 7 L C Z x d W 9 0 O 1 N l Y 3 R p b 2 4 x L 1 F 1 Z X J 5 I E F M T C 9 D a G F u Z 2 V k I F R 5 c G U u e 0 F n Z V x u R G l 2 a X N p b 2 4 s N H 0 m c X V v d D s s J n F 1 b 3 Q 7 U 2 V j d G l v b j E v U X V l c n k g Q U x M L 0 N o Y W 5 n Z W Q g V H l w Z S 5 7 T G V 2 Z W w s N X 0 m c X V v d D s s J n F 1 b 3 Q 7 U 2 V j d G l v b j E v U X V l c n k g Q U x M L 0 N o Y W 5 n Z W Q g V H l w Z S 5 7 Q X R o b G V 0 Z S w 2 f S Z x d W 9 0 O y w m c X V v d D t T Z W N 0 a W 9 u M S 9 R d W V y e S B B T E w v Q 2 h h b m d l Z C B U e X B l L n t D b H V i L D d 9 J n F 1 b 3 Q 7 L C Z x d W 9 0 O 1 N l Y 3 R p b 2 4 x L 1 F 1 Z X J 5 I E F M T C 9 D a G F u Z 2 V k I F R 5 c G U u e 0 N v d W 5 0 c n k s O H 0 m c X V v d D s s J n F 1 b 3 Q 7 U 2 V j d G l v b j E v U X V l c n k g Q U x M L 0 N o Y W 5 n Z W Q g V H l w Z S 5 7 S n V k Z 2 U g M V x u V G F t Y X J h I E J l b G p h a y w 5 f S Z x d W 9 0 O y w m c X V v d D t T Z W N 0 a W 9 u M S 9 R d W V y e S B B T E w v Q 2 h h b m d l Z C B U e X B l L n t K M S A o L S k s M T B 9 J n F 1 b 3 Q 7 L C Z x d W 9 0 O 1 N l Y 3 R p b 2 4 x L 1 F 1 Z X J 5 I E F M T C 9 D a G F u Z 2 V k I F R 5 c G U u e 0 o x I F R P V E F M L D E x f S Z x d W 9 0 O y w m c X V v d D t T Z W N 0 a W 9 u M S 9 R d W V y e S B B T E w v Q 2 h h b m d l Z C B U e X B l L n t K M S A o U m F u a y k s M T J 9 J n F 1 b 3 Q 7 L C Z x d W 9 0 O 1 N l Y 3 R p b 2 4 x L 1 F 1 Z X J 5 I E F M T C 9 D a G F u Z 2 V k I F R 5 c G U u e 0 p 1 Z G d l I D J c b l R p a G 9 t a X I g Q m V u Z G V s a m E s M T N 9 J n F 1 b 3 Q 7 L C Z x d W 9 0 O 1 N l Y 3 R p b 2 4 x L 1 F 1 Z X J 5 I E F M T C 9 D a G F u Z 2 V k I F R 5 c G U u e 0 o y I C g t K S w x N H 0 m c X V v d D s s J n F 1 b 3 Q 7 U 2 V j d G l v b j E v U X V l c n k g Q U x M L 0 N o Y W 5 n Z W Q g V H l w Z S 5 7 S j I g V E 9 U Q U w s M T V 9 J n F 1 b 3 Q 7 L C Z x d W 9 0 O 1 N l Y 3 R p b 2 4 x L 1 F 1 Z X J 5 I E F M T C 9 D a G F u Z 2 V k I F R 5 c G U u e 0 o y I C h S Y W 5 r K S w x N n 0 m c X V v d D s s J n F 1 b 3 Q 7 U 2 V j d G l v b j E v U X V l c n k g Q U x M L 0 N o Y W 5 n Z W Q g V H l w Z S 5 7 S n V k Z 2 U g M 1 x u V G V h I F N v Z n R p x I c s M T d 9 J n F 1 b 3 Q 7 L C Z x d W 9 0 O 1 N l Y 3 R p b 2 4 x L 1 F 1 Z X J 5 I E F M T C 9 D a G F u Z 2 V k I F R 5 c G U u e 0 o z I C g t K S w x O H 0 m c X V v d D s s J n F 1 b 3 Q 7 U 2 V j d G l v b j E v U X V l c n k g Q U x M L 0 N o Y W 5 n Z W Q g V H l w Z S 5 7 S j M g V E 9 U Q U w s M T l 9 J n F 1 b 3 Q 7 L C Z x d W 9 0 O 1 N l Y 3 R p b 2 4 x L 1 F 1 Z X J 5 I E F M T C 9 D a G F u Z 2 V k I F R 5 c G U u e 0 o z I C h S Y W 5 r K S w y M H 0 m c X V v d D s s J n F 1 b 3 Q 7 U 2 V j d G l v b j E v U X V l c n k g Q U x M L 0 N o Y W 5 n Z W Q g V H l w Z S 5 7 S n V k Z 2 U g N F x u Q m V y b m F y Z C B C Y X J h x I 0 s M j F 9 J n F 1 b 3 Q 7 L C Z x d W 9 0 O 1 N l Y 3 R p b 2 4 x L 1 F 1 Z X J 5 I E F M T C 9 D a G F u Z 2 V k I F R 5 c G U u e 0 o 0 I C g t K S w y M n 0 m c X V v d D s s J n F 1 b 3 Q 7 U 2 V j d G l v b j E v U X V l c n k g Q U x M L 0 N o Y W 5 n Z W Q g V H l w Z S 5 7 S j Q g V E 9 U Q U w s M j N 9 J n F 1 b 3 Q 7 L C Z x d W 9 0 O 1 N l Y 3 R p b 2 4 x L 1 F 1 Z X J 5 I E F M T C 9 D a G F u Z 2 V k I F R 5 c G U u e 0 o 0 I C h S Y W 5 r K S w y N H 0 m c X V v d D s s J n F 1 b 3 Q 7 U 2 V j d G l v b j E v U X V l c n k g Q U x M L 0 N o Y W 5 n Z W Q g V H l w Z S 5 7 S n V k Z 2 U g N V x u Q m F y Y m F y Y S B O b 3 Z p b m E s M j V 9 J n F 1 b 3 Q 7 L C Z x d W 9 0 O 1 N l Y 3 R p b 2 4 x L 1 F 1 Z X J 5 I E F M T C 9 D a G F u Z 2 V k I F R 5 c G U u e 0 o 1 I C g t K S w y N n 0 m c X V v d D s s J n F 1 b 3 Q 7 U 2 V j d G l v b j E v U X V l c n k g Q U x M L 0 N o Y W 5 n Z W Q g V H l w Z S 5 7 S j U g V E 9 U Q U w s M j d 9 J n F 1 b 3 Q 7 L C Z x d W 9 0 O 1 N l Y 3 R p b 2 4 x L 1 F 1 Z X J 5 I E F M T C 9 D a G F u Z 2 V k I F R 5 c G U u e 0 o 1 I C h S Y W 5 r K S w y O H 0 m c X V v d D s s J n F 1 b 3 Q 7 U 2 V j d G l v b j E v U X V l c n k g Q U x M L 0 N o Y W 5 n Z W Q g V H l w Z S 5 7 V G 9 0 Y W w s M j l 9 J n F 1 b 3 Q 7 L C Z x d W 9 0 O 1 N l Y 3 R p b 2 4 x L 1 F 1 Z X J 5 I E F M T C 9 D a G F u Z 2 V k I F R 5 c G U u e 0 x v d y w z M H 0 m c X V v d D s s J n F 1 b 3 Q 7 U 2 V j d G l v b j E v U X V l c n k g Q U x M L 0 N o Y W 5 n Z W Q g V H l w Z S 5 7 S G l n a C w z M X 0 m c X V v d D s s J n F 1 b 3 Q 7 U 2 V j d G l v b j E v U X V l c n k g Q U x M L 0 N o Y W 5 n Z W Q g V H l w Z S 5 7 R m l u Y W w g V G 9 0 Y W w s M z J 9 J n F 1 b 3 Q 7 L C Z x d W 9 0 O 1 N l Y 3 R p b 2 4 x L 1 F 1 Z X J 5 I E F M T C 9 D a G F u Z 2 V k I F R 5 c G U u e 0 F 2 Z y w z M 3 0 m c X V v d D s s J n F 1 b 3 Q 7 U 2 V j d G l v b j E v U X V l c n k g Q U x M L 0 N o Y W 5 n Z W Q g V H l w Z S 5 7 R k l O Q U w g U 0 N P U k U s M z R 9 J n F 1 b 3 Q 7 L C Z x d W 9 0 O 1 N l Y 3 R p b 2 4 x L 1 F 1 Z X J 5 I E F M T C 9 D a G F u Z 2 V k I F R 5 c G U u e 1 J h b m s s M z V 9 J n F 1 b 3 Q 7 L C Z x d W 9 0 O 1 N l Y 3 R p b 2 4 x L 1 F 1 Z X J 5 I E F M T C 9 D a G F u Z 2 V k I F R 5 c G U u e 0 N h d G V n b 3 J 5 I F R 5 c G U s M z Z 9 J n F 1 b 3 Q 7 L C Z x d W 9 0 O 1 N l Y 3 R p b 2 4 x L 1 F 1 Z X J 5 I E F M T C 9 B Z G R l Z C B D d X N 0 b 2 0 u e 0 N P T l N P T E l E Q V R F R C w z N 3 0 m c X V v d D t d L C Z x d W 9 0 O 0 N v b H V t b k N v d W 5 0 J n F 1 b 3 Q 7 O j M 4 L C Z x d W 9 0 O 0 t l e U N v b H V t b k 5 h b W V z J n F 1 b 3 Q 7 O l t d L C Z x d W 9 0 O 0 N v b H V t b k l k Z W 5 0 a X R p Z X M m c X V v d D s 6 W y Z x d W 9 0 O 1 N l Y 3 R p b 2 4 x L 1 F 1 Z X J 5 I E F M T C 9 T b 3 V y Y 2 U u e 0 5 h b W U s M X 0 m c X V v d D s s J n F 1 b 3 Q 7 U 2 V j d G l v b j E v U X V l c n k g Q U x M L 0 N o Y W 5 n Z W Q g V H l w Z S 5 7 U 3 R h c n Q g T m 8 u L D F 9 J n F 1 b 3 Q 7 L C Z x d W 9 0 O 1 N l Y 3 R p b 2 4 x L 1 F 1 Z X J 5 I E F M T C 9 D a G F u Z 2 V k I F R 5 c G U u e 0 x h b m U s M n 0 m c X V v d D s s J n F 1 b 3 Q 7 U 2 V j d G l v b j E v U X V l c n k g Q U x M L 0 N o Y W 5 n Z W Q g V H l w Z S 5 7 Q 2 F 0 Z W d v c n k s M 3 0 m c X V v d D s s J n F 1 b 3 Q 7 U 2 V j d G l v b j E v U X V l c n k g Q U x M L 0 N o Y W 5 n Z W Q g V H l w Z S 5 7 Q W d l X G 5 E a X Z p c 2 l v b i w 0 f S Z x d W 9 0 O y w m c X V v d D t T Z W N 0 a W 9 u M S 9 R d W V y e S B B T E w v Q 2 h h b m d l Z C B U e X B l L n t M Z X Z l b C w 1 f S Z x d W 9 0 O y w m c X V v d D t T Z W N 0 a W 9 u M S 9 R d W V y e S B B T E w v Q 2 h h b m d l Z C B U e X B l L n t B d G h s Z X R l L D Z 9 J n F 1 b 3 Q 7 L C Z x d W 9 0 O 1 N l Y 3 R p b 2 4 x L 1 F 1 Z X J 5 I E F M T C 9 D a G F u Z 2 V k I F R 5 c G U u e 0 N s d W I s N 3 0 m c X V v d D s s J n F 1 b 3 Q 7 U 2 V j d G l v b j E v U X V l c n k g Q U x M L 0 N o Y W 5 n Z W Q g V H l w Z S 5 7 Q 2 9 1 b n R y e S w 4 f S Z x d W 9 0 O y w m c X V v d D t T Z W N 0 a W 9 u M S 9 R d W V y e S B B T E w v Q 2 h h b m d l Z C B U e X B l L n t K d W R n Z S A x X G 5 U Y W 1 h c m E g Q m V s a m F r L D l 9 J n F 1 b 3 Q 7 L C Z x d W 9 0 O 1 N l Y 3 R p b 2 4 x L 1 F 1 Z X J 5 I E F M T C 9 D a G F u Z 2 V k I F R 5 c G U u e 0 o x I C g t K S w x M H 0 m c X V v d D s s J n F 1 b 3 Q 7 U 2 V j d G l v b j E v U X V l c n k g Q U x M L 0 N o Y W 5 n Z W Q g V H l w Z S 5 7 S j E g V E 9 U Q U w s M T F 9 J n F 1 b 3 Q 7 L C Z x d W 9 0 O 1 N l Y 3 R p b 2 4 x L 1 F 1 Z X J 5 I E F M T C 9 D a G F u Z 2 V k I F R 5 c G U u e 0 o x I C h S Y W 5 r K S w x M n 0 m c X V v d D s s J n F 1 b 3 Q 7 U 2 V j d G l v b j E v U X V l c n k g Q U x M L 0 N o Y W 5 n Z W Q g V H l w Z S 5 7 S n V k Z 2 U g M l x u V G l o b 2 1 p c i B C Z W 5 k Z W x q Y S w x M 3 0 m c X V v d D s s J n F 1 b 3 Q 7 U 2 V j d G l v b j E v U X V l c n k g Q U x M L 0 N o Y W 5 n Z W Q g V H l w Z S 5 7 S j I g K C 0 p L D E 0 f S Z x d W 9 0 O y w m c X V v d D t T Z W N 0 a W 9 u M S 9 R d W V y e S B B T E w v Q 2 h h b m d l Z C B U e X B l L n t K M i B U T 1 R B T C w x N X 0 m c X V v d D s s J n F 1 b 3 Q 7 U 2 V j d G l v b j E v U X V l c n k g Q U x M L 0 N o Y W 5 n Z W Q g V H l w Z S 5 7 S j I g K F J h b m s p L D E 2 f S Z x d W 9 0 O y w m c X V v d D t T Z W N 0 a W 9 u M S 9 R d W V y e S B B T E w v Q 2 h h b m d l Z C B U e X B l L n t K d W R n Z S A z X G 5 U Z W E g U 2 9 m d G n E h y w x N 3 0 m c X V v d D s s J n F 1 b 3 Q 7 U 2 V j d G l v b j E v U X V l c n k g Q U x M L 0 N o Y W 5 n Z W Q g V H l w Z S 5 7 S j M g K C 0 p L D E 4 f S Z x d W 9 0 O y w m c X V v d D t T Z W N 0 a W 9 u M S 9 R d W V y e S B B T E w v Q 2 h h b m d l Z C B U e X B l L n t K M y B U T 1 R B T C w x O X 0 m c X V v d D s s J n F 1 b 3 Q 7 U 2 V j d G l v b j E v U X V l c n k g Q U x M L 0 N o Y W 5 n Z W Q g V H l w Z S 5 7 S j M g K F J h b m s p L D I w f S Z x d W 9 0 O y w m c X V v d D t T Z W N 0 a W 9 u M S 9 R d W V y e S B B T E w v Q 2 h h b m d l Z C B U e X B l L n t K d W R n Z S A 0 X G 5 C Z X J u Y X J k I E J h c m H E j S w y M X 0 m c X V v d D s s J n F 1 b 3 Q 7 U 2 V j d G l v b j E v U X V l c n k g Q U x M L 0 N o Y W 5 n Z W Q g V H l w Z S 5 7 S j Q g K C 0 p L D I y f S Z x d W 9 0 O y w m c X V v d D t T Z W N 0 a W 9 u M S 9 R d W V y e S B B T E w v Q 2 h h b m d l Z C B U e X B l L n t K N C B U T 1 R B T C w y M 3 0 m c X V v d D s s J n F 1 b 3 Q 7 U 2 V j d G l v b j E v U X V l c n k g Q U x M L 0 N o Y W 5 n Z W Q g V H l w Z S 5 7 S j Q g K F J h b m s p L D I 0 f S Z x d W 9 0 O y w m c X V v d D t T Z W N 0 a W 9 u M S 9 R d W V y e S B B T E w v Q 2 h h b m d l Z C B U e X B l L n t K d W R n Z S A 1 X G 5 C Y X J i Y X J h I E 5 v d m l u Y S w y N X 0 m c X V v d D s s J n F 1 b 3 Q 7 U 2 V j d G l v b j E v U X V l c n k g Q U x M L 0 N o Y W 5 n Z W Q g V H l w Z S 5 7 S j U g K C 0 p L D I 2 f S Z x d W 9 0 O y w m c X V v d D t T Z W N 0 a W 9 u M S 9 R d W V y e S B B T E w v Q 2 h h b m d l Z C B U e X B l L n t K N S B U T 1 R B T C w y N 3 0 m c X V v d D s s J n F 1 b 3 Q 7 U 2 V j d G l v b j E v U X V l c n k g Q U x M L 0 N o Y W 5 n Z W Q g V H l w Z S 5 7 S j U g K F J h b m s p L D I 4 f S Z x d W 9 0 O y w m c X V v d D t T Z W N 0 a W 9 u M S 9 R d W V y e S B B T E w v Q 2 h h b m d l Z C B U e X B l L n t U b 3 R h b C w y O X 0 m c X V v d D s s J n F 1 b 3 Q 7 U 2 V j d G l v b j E v U X V l c n k g Q U x M L 0 N o Y W 5 n Z W Q g V H l w Z S 5 7 T G 9 3 L D M w f S Z x d W 9 0 O y w m c X V v d D t T Z W N 0 a W 9 u M S 9 R d W V y e S B B T E w v Q 2 h h b m d l Z C B U e X B l L n t I a W d o L D M x f S Z x d W 9 0 O y w m c X V v d D t T Z W N 0 a W 9 u M S 9 R d W V y e S B B T E w v Q 2 h h b m d l Z C B U e X B l L n t G a W 5 h b C B U b 3 R h b C w z M n 0 m c X V v d D s s J n F 1 b 3 Q 7 U 2 V j d G l v b j E v U X V l c n k g Q U x M L 0 N o Y W 5 n Z W Q g V H l w Z S 5 7 Q X Z n L D M z f S Z x d W 9 0 O y w m c X V v d D t T Z W N 0 a W 9 u M S 9 R d W V y e S B B T E w v Q 2 h h b m d l Z C B U e X B l L n t G S U 5 B T C B T Q 0 9 S R S w z N H 0 m c X V v d D s s J n F 1 b 3 Q 7 U 2 V j d G l v b j E v U X V l c n k g Q U x M L 0 N o Y W 5 n Z W Q g V H l w Z S 5 7 U m F u a y w z N X 0 m c X V v d D s s J n F 1 b 3 Q 7 U 2 V j d G l v b j E v U X V l c n k g Q U x M L 0 N o Y W 5 n Z W Q g V H l w Z S 5 7 Q 2 F 0 Z W d v c n k g V H l w Z S w z N n 0 m c X V v d D s s J n F 1 b 3 Q 7 U 2 V j d G l v b j E v U X V l c n k g Q U x M L 0 F k Z G V k I E N 1 c 3 R v b S 5 7 Q 0 9 O U 0 9 M S U R B V E V E L D M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X V l c n k l M j B B T E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l M j B B T E w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l M j B B T E w v R X h w Y W 5 k Z W Q l M j B D b 2 5 0 Z W 5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l M j B B T E w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F 1 Z X J 5 J T I w Q U x M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l M j B B T E w v Q W R k Z W Q l M j B D d X N 0 b 2 0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E t E C r H b / D E y C r d Q x g c l R 9 g A A A A A C A A A A A A A Q Z g A A A A E A A C A A A A C f + 6 H R t P 4 5 + m 8 6 g z J F 5 D w k S A 0 K 9 O a 1 F e r H j 4 t m w e a p C Q A A A A A O g A A A A A I A A C A A A A B Q E G T M t c N D Q 3 b 6 D B M 7 m E F X m E X o V X E Y w g e B J x M Q 3 S C Y n 1 A A A A C V x m s 1 8 p S E b f + g S K / l T 0 q w W i x L F L m s V u c m g S Y 5 A b I Q Y E 7 W 0 r 8 O B L q n R + 8 w 1 q d g 6 n x S R L q z N l d 7 5 z A S o 8 7 F e S 1 4 f D L W s Q r e i u 6 O 0 v z w U y o i q 0 A A A A A 9 Q m O N Y X 1 Q v Z t i c I 1 s x k i I G V k O W N 0 3 f F b q P L q O 0 Y u m C 8 Q D T Q w C X O Z L L V L + v h b H K s l a a o L D v P T H 8 s c Y q e 6 7 n t f I < / D a t a M a s h u p > 
</file>

<file path=customXml/itemProps1.xml><?xml version="1.0" encoding="utf-8"?>
<ds:datastoreItem xmlns:ds="http://schemas.openxmlformats.org/officeDocument/2006/customXml" ds:itemID="{86C5471E-DC05-4854-9EA1-0E2085C871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Named Ranges</vt:lpstr>
      </vt:variant>
      <vt:variant>
        <vt:i4>36</vt:i4>
      </vt:variant>
    </vt:vector>
  </HeadingPairs>
  <TitlesOfParts>
    <vt:vector size="75" baseType="lpstr">
      <vt:lpstr>FLOOR 1 BATON CHILDREN</vt:lpstr>
      <vt:lpstr>FLOOR 1 BATON CADET-BEG</vt:lpstr>
      <vt:lpstr>FLOOR 1 BATON JUNIOR-BEG</vt:lpstr>
      <vt:lpstr>FLOOR 1 BATON CADET-INT</vt:lpstr>
      <vt:lpstr>FLOOR 1 BATON JUNIOR-ADV</vt:lpstr>
      <vt:lpstr>FLOOR 1 BATON JUNIOR-INT</vt:lpstr>
      <vt:lpstr>FLOOR 1 BATON SENIOR-INT</vt:lpstr>
      <vt:lpstr>FLOOR 1 BATON SENIOR-ADV</vt:lpstr>
      <vt:lpstr>FLOOR 2 BATONS JUNIOR-UPPER LVL</vt:lpstr>
      <vt:lpstr>FLOOR 2 BATONS SENIOR-LOWER LVL</vt:lpstr>
      <vt:lpstr>FLOOR 2 BATONS CADET-LOWER LVL</vt:lpstr>
      <vt:lpstr>FLOOR 2 BATONS JUNIOR-LOWER LVL</vt:lpstr>
      <vt:lpstr>SOLO DANCE-CHILDREN</vt:lpstr>
      <vt:lpstr>SOLO DANCE SENIOR-ADVANCED</vt:lpstr>
      <vt:lpstr>SOLO DANCE SENIOR-INTERMEDIATE</vt:lpstr>
      <vt:lpstr>SOLO DANCE CADET-BEGINNER</vt:lpstr>
      <vt:lpstr>SOLO DANCE CADET-INTERMEDIATE</vt:lpstr>
      <vt:lpstr>SOLO DANCE JUNIOR-PROFESSIONAL</vt:lpstr>
      <vt:lpstr>SOLO DANCE SENIOR-BEGINNER</vt:lpstr>
      <vt:lpstr>SOLO DANCE SENIOR-PROFESSIONAL</vt:lpstr>
      <vt:lpstr>SOLO DANCE JUNIOR-BEGINNER</vt:lpstr>
      <vt:lpstr>SOLO DANCE JUNIOR-INTERMEDIATE</vt:lpstr>
      <vt:lpstr>SOLO DANCE JUNIOR-ADVANCED</vt:lpstr>
      <vt:lpstr>DUET DANCE-CHILDREN</vt:lpstr>
      <vt:lpstr>DUET DANCE CADET-LOWER LVL</vt:lpstr>
      <vt:lpstr>DUET DANCE JUNIOR-LOWER LVL</vt:lpstr>
      <vt:lpstr>DUET DANCE JUNIOR-UPPER LVL</vt:lpstr>
      <vt:lpstr>DUET DANCE SENIOR-LOWER LVL</vt:lpstr>
      <vt:lpstr>TWIRLING TEAM-CHILDREN</vt:lpstr>
      <vt:lpstr>TWIRLING TEAM CADET-LOWER LVL</vt:lpstr>
      <vt:lpstr>TWIRLING TEAM CADET-UPPER LVL</vt:lpstr>
      <vt:lpstr>TWIRLING TEAM JUNIOR-LOWER LVL</vt:lpstr>
      <vt:lpstr>TWIRLING TEAM SENIOR-LOWER LVL</vt:lpstr>
      <vt:lpstr>TWIRLING GROUP-CHILDREN</vt:lpstr>
      <vt:lpstr>TWIRLING GROUP-CADET</vt:lpstr>
      <vt:lpstr>TWIRLING GROUP-SENIOR</vt:lpstr>
      <vt:lpstr>SUMARUM--&gt;</vt:lpstr>
      <vt:lpstr>PIVOT Query ALL</vt:lpstr>
      <vt:lpstr>Query ALL</vt:lpstr>
      <vt:lpstr>'DUET DANCE CADET-LOWER LVL'!Extract</vt:lpstr>
      <vt:lpstr>'DUET DANCE JUNIOR-LOWER LVL'!Extract</vt:lpstr>
      <vt:lpstr>'DUET DANCE JUNIOR-UPPER LVL'!Extract</vt:lpstr>
      <vt:lpstr>'DUET DANCE SENIOR-LOWER LVL'!Extract</vt:lpstr>
      <vt:lpstr>'DUET DANCE-CHILDREN'!Extract</vt:lpstr>
      <vt:lpstr>'FLOOR 1 BATON CADET-BEG'!Extract</vt:lpstr>
      <vt:lpstr>'FLOOR 1 BATON CADET-INT'!Extract</vt:lpstr>
      <vt:lpstr>'FLOOR 1 BATON CHILDREN'!Extract</vt:lpstr>
      <vt:lpstr>'FLOOR 1 BATON JUNIOR-ADV'!Extract</vt:lpstr>
      <vt:lpstr>'FLOOR 1 BATON JUNIOR-BEG'!Extract</vt:lpstr>
      <vt:lpstr>'FLOOR 1 BATON JUNIOR-INT'!Extract</vt:lpstr>
      <vt:lpstr>'FLOOR 1 BATON SENIOR-ADV'!Extract</vt:lpstr>
      <vt:lpstr>'FLOOR 1 BATON SENIOR-INT'!Extract</vt:lpstr>
      <vt:lpstr>'FLOOR 2 BATONS CADET-LOWER LVL'!Extract</vt:lpstr>
      <vt:lpstr>'FLOOR 2 BATONS JUNIOR-LOWER LVL'!Extract</vt:lpstr>
      <vt:lpstr>'FLOOR 2 BATONS JUNIOR-UPPER LVL'!Extract</vt:lpstr>
      <vt:lpstr>'FLOOR 2 BATONS SENIOR-LOWER LVL'!Extract</vt:lpstr>
      <vt:lpstr>'SOLO DANCE CADET-BEGINNER'!Extract</vt:lpstr>
      <vt:lpstr>'SOLO DANCE CADET-INTERMEDIATE'!Extract</vt:lpstr>
      <vt:lpstr>'SOLO DANCE JUNIOR-ADVANCED'!Extract</vt:lpstr>
      <vt:lpstr>'SOLO DANCE JUNIOR-BEGINNER'!Extract</vt:lpstr>
      <vt:lpstr>'SOLO DANCE JUNIOR-INTERMEDIATE'!Extract</vt:lpstr>
      <vt:lpstr>'SOLO DANCE JUNIOR-PROFESSIONAL'!Extract</vt:lpstr>
      <vt:lpstr>'SOLO DANCE SENIOR-ADVANCED'!Extract</vt:lpstr>
      <vt:lpstr>'SOLO DANCE SENIOR-BEGINNER'!Extract</vt:lpstr>
      <vt:lpstr>'SOLO DANCE SENIOR-INTERMEDIATE'!Extract</vt:lpstr>
      <vt:lpstr>'SOLO DANCE SENIOR-PROFESSIONAL'!Extract</vt:lpstr>
      <vt:lpstr>'SOLO DANCE-CHILDREN'!Extract</vt:lpstr>
      <vt:lpstr>'TWIRLING GROUP-CADET'!Extract</vt:lpstr>
      <vt:lpstr>'TWIRLING GROUP-CHILDREN'!Extract</vt:lpstr>
      <vt:lpstr>'TWIRLING GROUP-SENIOR'!Extract</vt:lpstr>
      <vt:lpstr>'TWIRLING TEAM CADET-LOWER LVL'!Extract</vt:lpstr>
      <vt:lpstr>'TWIRLING TEAM CADET-UPPER LVL'!Extract</vt:lpstr>
      <vt:lpstr>'TWIRLING TEAM JUNIOR-LOWER LVL'!Extract</vt:lpstr>
      <vt:lpstr>'TWIRLING TEAM SENIOR-LOWER LVL'!Extract</vt:lpstr>
      <vt:lpstr>'TWIRLING TEAM-CHILDREN'!Extract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SAMOBORfest RESULTS - 4.6.2023 TWIRLING PROGRAM</dc:title>
  <dc:subject/>
  <dc:creator>MKS STUDIO</dc:creator>
  <cp:keywords>SAMOBORfest</cp:keywords>
  <dc:description/>
  <cp:lastModifiedBy>User</cp:lastModifiedBy>
  <cp:revision/>
  <cp:lastPrinted>2023-06-04T18:17:03Z</cp:lastPrinted>
  <dcterms:created xsi:type="dcterms:W3CDTF">2019-01-27T20:49:00Z</dcterms:created>
  <dcterms:modified xsi:type="dcterms:W3CDTF">2023-06-07T19:43:36Z</dcterms:modified>
  <cp:category/>
  <cp:contentStatus/>
</cp:coreProperties>
</file>