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pivotTables/pivotTable1.xml" ContentType="application/vnd.openxmlformats-officedocument.spreadsheetml.pivotTable+xml"/>
  <Override PartName="/xl/tables/table4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SUBOTA\WEEBLY\WEEBLY - LOCKED password SF2023\"/>
    </mc:Choice>
  </mc:AlternateContent>
  <xr:revisionPtr revIDLastSave="0" documentId="13_ncr:1_{FBE715B3-2E59-4A6A-B4AC-D7B4922A58F8}" xr6:coauthVersionLast="47" xr6:coauthVersionMax="47" xr10:uidLastSave="{00000000-0000-0000-0000-000000000000}"/>
  <bookViews>
    <workbookView xWindow="-108" yWindow="-108" windowWidth="23256" windowHeight="12456" tabRatio="782" xr2:uid="{00000000-000D-0000-FFFF-FFFF00000000}"/>
  </bookViews>
  <sheets>
    <sheet name="MAJORETTE SOLO CHILDREN" sheetId="96" r:id="rId1"/>
    <sheet name="MAJORETTE SOLO CADET" sheetId="136" r:id="rId2"/>
    <sheet name="MAJORETTE SOLO JUNIOR" sheetId="137" r:id="rId3"/>
    <sheet name="MAJORETTE SOLO SENIOR" sheetId="138" r:id="rId4"/>
    <sheet name="ACCESSORIES SOLO CHILDREN" sheetId="141" r:id="rId5"/>
    <sheet name="ACCESSORIES SOLO CADET" sheetId="142" r:id="rId6"/>
    <sheet name="ACCESSORIES SOLO JUNIOR" sheetId="143" r:id="rId7"/>
    <sheet name="POMPON SOLO CHILDREN" sheetId="148" r:id="rId8"/>
    <sheet name="POMPON SOLO CADET" sheetId="149" r:id="rId9"/>
    <sheet name="POMPON SOLO JUNIOR" sheetId="150" r:id="rId10"/>
    <sheet name="POMPON SOLO SENIOR" sheetId="151" r:id="rId11"/>
    <sheet name="MAJORETTE DUO-TRIO CHILDREN" sheetId="139" r:id="rId12"/>
    <sheet name="MAJORETTE DUO-TRIO JUNIOR" sheetId="176" r:id="rId13"/>
    <sheet name="MAJORETTE DUO-TRIO SENIOR" sheetId="140" r:id="rId14"/>
    <sheet name="ACCESSORIES DUO CHILDREN" sheetId="144" r:id="rId15"/>
    <sheet name="ACCESSORIES DUO CADET" sheetId="145" r:id="rId16"/>
    <sheet name="ACCESSORIES DUO JUNIOR" sheetId="146" r:id="rId17"/>
    <sheet name="ACCESSORIES DUO SENIOR" sheetId="147" r:id="rId18"/>
    <sheet name="POMPON DUO-TRIO CHILDREN" sheetId="152" r:id="rId19"/>
    <sheet name="POMPON DUO-TRIO CADET" sheetId="153" r:id="rId20"/>
    <sheet name="POMPON DUO-TRIO JUNIOR" sheetId="154" r:id="rId21"/>
    <sheet name="POMPON DUO-TRIO SENIOR" sheetId="155" r:id="rId22"/>
    <sheet name="TRAD. MAJORETTE GROUP MINI" sheetId="157" r:id="rId23"/>
    <sheet name="TRAD. MAJORETTE TEAM CHILDREN" sheetId="156" r:id="rId24"/>
    <sheet name="TRAD. MAJORETTE GROUP CHILDREN" sheetId="158" r:id="rId25"/>
    <sheet name="TRAD. MAJORETTE GROUP CADET" sheetId="159" r:id="rId26"/>
    <sheet name="MODERN MAJORETTE TEAM CADET " sheetId="160" r:id="rId27"/>
    <sheet name="MODERN MAJORETTE TEAM JUNIOR" sheetId="161" r:id="rId28"/>
    <sheet name="MODERN MAJORETTE GROUP CADET" sheetId="162" r:id="rId29"/>
    <sheet name="MODERN MAJORETTE GROUP JUNIOR" sheetId="163" r:id="rId30"/>
    <sheet name="POMPON TEAM JUNIOR" sheetId="164" r:id="rId31"/>
    <sheet name="GROUP MIX CADET" sheetId="169" r:id="rId32"/>
    <sheet name="POMPON GROUP MINI" sheetId="165" r:id="rId33"/>
    <sheet name="POMPON GROUP CHILDREN" sheetId="166" r:id="rId34"/>
    <sheet name="POMPON GROUP CADET" sheetId="167" r:id="rId35"/>
    <sheet name="POMPON GROUP JUNIOR" sheetId="168" r:id="rId36"/>
    <sheet name="SHOW DANCE MINI" sheetId="170" r:id="rId37"/>
    <sheet name="SHOW DANCE CHILDREN" sheetId="171" r:id="rId38"/>
    <sheet name="SHOW DANCE CADET" sheetId="172" r:id="rId39"/>
    <sheet name="SHOW DANCE JUNIOR" sheetId="173" r:id="rId40"/>
    <sheet name="SHOW DANCE SENIOR" sheetId="174" r:id="rId41"/>
    <sheet name="FLAGS" sheetId="175" r:id="rId42"/>
    <sheet name="SUMARUM--&gt;" sheetId="135" state="hidden" r:id="rId43"/>
    <sheet name="PIVOT QUERY ALL" sheetId="177" state="hidden" r:id="rId44"/>
    <sheet name="Query ALL" sheetId="133" state="hidden" r:id="rId45"/>
  </sheets>
  <definedNames>
    <definedName name="_xlnm._FilterDatabase" localSheetId="15" hidden="1">'ACCESSORIES DUO CADET'!$A$1:$AI$8</definedName>
    <definedName name="_xlnm._FilterDatabase" localSheetId="14" hidden="1">'ACCESSORIES DUO CHILDREN'!$A$1:$AI$3</definedName>
    <definedName name="_xlnm._FilterDatabase" localSheetId="16" hidden="1">'ACCESSORIES DUO JUNIOR'!$A$1:$AI$5</definedName>
    <definedName name="_xlnm._FilterDatabase" localSheetId="17" hidden="1">'ACCESSORIES DUO SENIOR'!$A$1:$AI$2</definedName>
    <definedName name="_xlnm._FilterDatabase" localSheetId="5" hidden="1">'ACCESSORIES SOLO CADET'!$A$1:$AI$6</definedName>
    <definedName name="_xlnm._FilterDatabase" localSheetId="4" hidden="1">'ACCESSORIES SOLO CHILDREN'!$A$1:$AI$3</definedName>
    <definedName name="_xlnm._FilterDatabase" localSheetId="6" hidden="1">'ACCESSORIES SOLO JUNIOR'!$A$1:$AI$4</definedName>
    <definedName name="_xlnm._FilterDatabase" localSheetId="41" hidden="1">FLAGS!$A$1:$AI$2</definedName>
    <definedName name="_xlnm._FilterDatabase" localSheetId="31" hidden="1">'GROUP MIX CADET'!$A$1:$AI$2</definedName>
    <definedName name="_xlnm._FilterDatabase" localSheetId="11" hidden="1">'MAJORETTE DUO-TRIO CHILDREN'!$A$1:$AI$4</definedName>
    <definedName name="_xlnm._FilterDatabase" localSheetId="12" hidden="1">'MAJORETTE DUO-TRIO JUNIOR'!$A$1:$AI$3</definedName>
    <definedName name="_xlnm._FilterDatabase" localSheetId="13" hidden="1">'MAJORETTE DUO-TRIO SENIOR'!$A$1:$AI$2</definedName>
    <definedName name="_xlnm._FilterDatabase" localSheetId="1" hidden="1">'MAJORETTE SOLO CADET'!$A$1:$AI$8</definedName>
    <definedName name="_xlnm._FilterDatabase" localSheetId="0" hidden="1">'MAJORETTE SOLO CHILDREN'!$A$1:$AI$5</definedName>
    <definedName name="_xlnm._FilterDatabase" localSheetId="2" hidden="1">'MAJORETTE SOLO JUNIOR'!$A$1:$AI$7</definedName>
    <definedName name="_xlnm._FilterDatabase" localSheetId="3" hidden="1">'MAJORETTE SOLO SENIOR'!$A$1:$AI$3</definedName>
    <definedName name="_xlnm._FilterDatabase" localSheetId="28" hidden="1">'MODERN MAJORETTE GROUP CADET'!$A$1:$AI$2</definedName>
    <definedName name="_xlnm._FilterDatabase" localSheetId="29" hidden="1">'MODERN MAJORETTE GROUP JUNIOR'!$A$1:$AI$2</definedName>
    <definedName name="_xlnm._FilterDatabase" localSheetId="26" hidden="1">'MODERN MAJORETTE TEAM CADET '!$A$1:$AI$3</definedName>
    <definedName name="_xlnm._FilterDatabase" localSheetId="27" hidden="1">'MODERN MAJORETTE TEAM JUNIOR'!$A$1:$AI$3</definedName>
    <definedName name="_xlnm._FilterDatabase" localSheetId="19" hidden="1">'POMPON DUO-TRIO CADET'!$A$1:$AI$2</definedName>
    <definedName name="_xlnm._FilterDatabase" localSheetId="18" hidden="1">'POMPON DUO-TRIO CHILDREN'!$A$1:$AI$2</definedName>
    <definedName name="_xlnm._FilterDatabase" localSheetId="20" hidden="1">'POMPON DUO-TRIO JUNIOR'!$A$1:$AI$4</definedName>
    <definedName name="_xlnm._FilterDatabase" localSheetId="21" hidden="1">'POMPON DUO-TRIO SENIOR'!$A$1:$AI$4</definedName>
    <definedName name="_xlnm._FilterDatabase" localSheetId="34" hidden="1">'POMPON GROUP CADET'!$A$1:$AI$2</definedName>
    <definedName name="_xlnm._FilterDatabase" localSheetId="33" hidden="1">'POMPON GROUP CHILDREN'!$A$1:$AI$4</definedName>
    <definedName name="_xlnm._FilterDatabase" localSheetId="35" hidden="1">'POMPON GROUP JUNIOR'!$A$1:$AI$2</definedName>
    <definedName name="_xlnm._FilterDatabase" localSheetId="32" hidden="1">'POMPON GROUP MINI'!$A$1:$AI$2</definedName>
    <definedName name="_xlnm._FilterDatabase" localSheetId="8" hidden="1">'POMPON SOLO CADET'!$A$1:$AI$2</definedName>
    <definedName name="_xlnm._FilterDatabase" localSheetId="7" hidden="1">'POMPON SOLO CHILDREN'!$A$1:$AI$2</definedName>
    <definedName name="_xlnm._FilterDatabase" localSheetId="9" hidden="1">'POMPON SOLO JUNIOR'!$A$1:$AI$2</definedName>
    <definedName name="_xlnm._FilterDatabase" localSheetId="10" hidden="1">'POMPON SOLO SENIOR'!$A$1:$AI$2</definedName>
    <definedName name="_xlnm._FilterDatabase" localSheetId="30" hidden="1">'POMPON TEAM JUNIOR'!$A$1:$AI$2</definedName>
    <definedName name="_xlnm._FilterDatabase" localSheetId="38" hidden="1">'SHOW DANCE CADET'!$A$1:$AI$3</definedName>
    <definedName name="_xlnm._FilterDatabase" localSheetId="37" hidden="1">'SHOW DANCE CHILDREN'!$A$1:$AI$2</definedName>
    <definedName name="_xlnm._FilterDatabase" localSheetId="39" hidden="1">'SHOW DANCE JUNIOR'!$A$1:$AI$2</definedName>
    <definedName name="_xlnm._FilterDatabase" localSheetId="36" hidden="1">'SHOW DANCE MINI'!$A$1:$AI$2</definedName>
    <definedName name="_xlnm._FilterDatabase" localSheetId="40" hidden="1">'SHOW DANCE SENIOR'!$A$1:$AI$2</definedName>
    <definedName name="_xlnm._FilterDatabase" localSheetId="25" hidden="1">'TRAD. MAJORETTE GROUP CADET'!$A$1:$AI$4</definedName>
    <definedName name="_xlnm._FilterDatabase" localSheetId="24" hidden="1">'TRAD. MAJORETTE GROUP CHILDREN'!$A$1:$AI$5</definedName>
    <definedName name="_xlnm._FilterDatabase" localSheetId="22" hidden="1">'TRAD. MAJORETTE GROUP MINI'!$A$1:$AI$2</definedName>
    <definedName name="_xlnm._FilterDatabase" localSheetId="23" hidden="1">'TRAD. MAJORETTE TEAM CHILDREN'!$A$1:$AI$3</definedName>
    <definedName name="ExternalData_1" localSheetId="44" hidden="1">'Query ALL'!$A$1:$AL$93</definedName>
    <definedName name="_xlnm.Extract" localSheetId="15">'ACCESSORIES DUO CADET'!$AJ$1:$BC$1</definedName>
    <definedName name="_xlnm.Extract" localSheetId="14">'ACCESSORIES DUO CHILDREN'!$AJ$1:$BC$1</definedName>
    <definedName name="_xlnm.Extract" localSheetId="16">'ACCESSORIES DUO JUNIOR'!$AJ$1:$BC$1</definedName>
    <definedName name="_xlnm.Extract" localSheetId="17">'ACCESSORIES DUO SENIOR'!$AJ$1:$BC$1</definedName>
    <definedName name="_xlnm.Extract" localSheetId="5">'ACCESSORIES SOLO CADET'!$AJ$1:$BC$1</definedName>
    <definedName name="_xlnm.Extract" localSheetId="4">'ACCESSORIES SOLO CHILDREN'!$AJ$1:$BC$1</definedName>
    <definedName name="_xlnm.Extract" localSheetId="6">'ACCESSORIES SOLO JUNIOR'!$AJ$1:$BC$1</definedName>
    <definedName name="_xlnm.Extract" localSheetId="41">FLAGS!$AJ$1:$BC$1</definedName>
    <definedName name="_xlnm.Extract" localSheetId="31">'GROUP MIX CADET'!$AJ$1:$BC$1</definedName>
    <definedName name="_xlnm.Extract" localSheetId="11">'MAJORETTE DUO-TRIO CHILDREN'!$AJ$1:$BC$1</definedName>
    <definedName name="_xlnm.Extract" localSheetId="12">'MAJORETTE DUO-TRIO JUNIOR'!$AJ$1:$BC$1</definedName>
    <definedName name="_xlnm.Extract" localSheetId="13">'MAJORETTE DUO-TRIO SENIOR'!$AJ$1:$BC$1</definedName>
    <definedName name="_xlnm.Extract" localSheetId="1">'MAJORETTE SOLO CADET'!$AJ$1:$BC$1</definedName>
    <definedName name="_xlnm.Extract" localSheetId="0">'MAJORETTE SOLO CHILDREN'!$AJ$1:$BC$1</definedName>
    <definedName name="_xlnm.Extract" localSheetId="2">'MAJORETTE SOLO JUNIOR'!$AJ$1:$BC$1</definedName>
    <definedName name="_xlnm.Extract" localSheetId="3">'MAJORETTE SOLO SENIOR'!$AJ$1:$BC$1</definedName>
    <definedName name="_xlnm.Extract" localSheetId="28">'MODERN MAJORETTE GROUP CADET'!$AJ$1:$BC$1</definedName>
    <definedName name="_xlnm.Extract" localSheetId="29">'MODERN MAJORETTE GROUP JUNIOR'!$AJ$1:$BC$1</definedName>
    <definedName name="_xlnm.Extract" localSheetId="26">'MODERN MAJORETTE TEAM CADET '!$AJ$1:$BC$1</definedName>
    <definedName name="_xlnm.Extract" localSheetId="27">'MODERN MAJORETTE TEAM JUNIOR'!$AJ$1:$BC$1</definedName>
    <definedName name="_xlnm.Extract" localSheetId="19">'POMPON DUO-TRIO CADET'!$AJ$1:$BC$1</definedName>
    <definedName name="_xlnm.Extract" localSheetId="18">'POMPON DUO-TRIO CHILDREN'!$AJ$1:$BC$1</definedName>
    <definedName name="_xlnm.Extract" localSheetId="20">'POMPON DUO-TRIO JUNIOR'!$AJ$1:$BC$1</definedName>
    <definedName name="_xlnm.Extract" localSheetId="21">'POMPON DUO-TRIO SENIOR'!$AJ$1:$BC$1</definedName>
    <definedName name="_xlnm.Extract" localSheetId="34">'POMPON GROUP CADET'!$AJ$1:$BC$1</definedName>
    <definedName name="_xlnm.Extract" localSheetId="33">'POMPON GROUP CHILDREN'!$AJ$1:$BC$1</definedName>
    <definedName name="_xlnm.Extract" localSheetId="35">'POMPON GROUP JUNIOR'!$AJ$1:$BC$1</definedName>
    <definedName name="_xlnm.Extract" localSheetId="32">'POMPON GROUP MINI'!$AJ$1:$BC$1</definedName>
    <definedName name="_xlnm.Extract" localSheetId="8">'POMPON SOLO CADET'!$AJ$1:$BC$1</definedName>
    <definedName name="_xlnm.Extract" localSheetId="7">'POMPON SOLO CHILDREN'!$AJ$1:$BC$1</definedName>
    <definedName name="_xlnm.Extract" localSheetId="9">'POMPON SOLO JUNIOR'!$AJ$1:$BC$1</definedName>
    <definedName name="_xlnm.Extract" localSheetId="10">'POMPON SOLO SENIOR'!$AJ$1:$BC$1</definedName>
    <definedName name="_xlnm.Extract" localSheetId="30">'POMPON TEAM JUNIOR'!$AJ$1:$BC$1</definedName>
    <definedName name="_xlnm.Extract" localSheetId="38">'SHOW DANCE CADET'!$AJ$1:$BC$1</definedName>
    <definedName name="_xlnm.Extract" localSheetId="37">'SHOW DANCE CHILDREN'!$AJ$1:$BC$1</definedName>
    <definedName name="_xlnm.Extract" localSheetId="39">'SHOW DANCE JUNIOR'!$AJ$1:$BC$1</definedName>
    <definedName name="_xlnm.Extract" localSheetId="36">'SHOW DANCE MINI'!$AJ$1:$BC$1</definedName>
    <definedName name="_xlnm.Extract" localSheetId="40">'SHOW DANCE SENIOR'!$AJ$1:$BC$1</definedName>
    <definedName name="_xlnm.Extract" localSheetId="25">'TRAD. MAJORETTE GROUP CADET'!$AJ$1:$BC$1</definedName>
    <definedName name="_xlnm.Extract" localSheetId="24">'TRAD. MAJORETTE GROUP CHILDREN'!$AJ$1:$BC$1</definedName>
    <definedName name="_xlnm.Extract" localSheetId="22">'TRAD. MAJORETTE GROUP MINI'!$AJ$1:$BC$1</definedName>
    <definedName name="_xlnm.Extract" localSheetId="23">'TRAD. MAJORETTE TEAM CHILDREN'!$AJ$1:$BC$1</definedName>
  </definedNames>
  <calcPr calcId="191028"/>
  <pivotCaches>
    <pivotCache cacheId="20" r:id="rId4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" i="174" l="1"/>
  <c r="AD2" i="168"/>
  <c r="AD4" i="166"/>
  <c r="AD2" i="171"/>
  <c r="AD2" i="169"/>
  <c r="AD2" i="172"/>
  <c r="AD3" i="172"/>
  <c r="AD2" i="173"/>
  <c r="AD2" i="165"/>
  <c r="AD2" i="163"/>
  <c r="AD2" i="162"/>
  <c r="AD2" i="164"/>
  <c r="AD2" i="156"/>
  <c r="AD3" i="156"/>
  <c r="AD2" i="161"/>
  <c r="AD3" i="161"/>
  <c r="AD2" i="160"/>
  <c r="AD3" i="160"/>
  <c r="O4" i="159"/>
  <c r="AD2" i="159"/>
  <c r="AD3" i="159"/>
  <c r="AD4" i="159"/>
  <c r="AD2" i="157"/>
  <c r="AD2" i="158"/>
  <c r="AD3" i="158"/>
  <c r="AD4" i="158"/>
  <c r="AD5" i="158"/>
  <c r="K2" i="176"/>
  <c r="L2" i="176" s="1"/>
  <c r="O2" i="176"/>
  <c r="P2" i="176" s="1"/>
  <c r="S2" i="176"/>
  <c r="W2" i="176"/>
  <c r="X2" i="176" s="1"/>
  <c r="AA2" i="176"/>
  <c r="AB2" i="176" s="1"/>
  <c r="AG2" i="176"/>
  <c r="AG3" i="176"/>
  <c r="AA3" i="176"/>
  <c r="AB3" i="176" s="1"/>
  <c r="W3" i="176"/>
  <c r="X3" i="176" s="1"/>
  <c r="S3" i="176"/>
  <c r="T3" i="176" s="1"/>
  <c r="O3" i="176"/>
  <c r="P3" i="176" s="1"/>
  <c r="K3" i="176"/>
  <c r="L3" i="176" s="1"/>
  <c r="O3" i="160"/>
  <c r="P3" i="160" s="1"/>
  <c r="K3" i="160"/>
  <c r="L3" i="160" s="1"/>
  <c r="O2" i="160"/>
  <c r="AG2" i="175"/>
  <c r="AA2" i="175"/>
  <c r="AB2" i="175" s="1"/>
  <c r="W2" i="175"/>
  <c r="X2" i="175" s="1"/>
  <c r="S2" i="175"/>
  <c r="T2" i="175" s="1"/>
  <c r="O2" i="175"/>
  <c r="P2" i="175" s="1"/>
  <c r="K2" i="175"/>
  <c r="L2" i="175" s="1"/>
  <c r="AG2" i="174"/>
  <c r="AA2" i="174"/>
  <c r="AB2" i="174" s="1"/>
  <c r="W2" i="174"/>
  <c r="X2" i="174" s="1"/>
  <c r="S2" i="174"/>
  <c r="T2" i="174" s="1"/>
  <c r="O2" i="174"/>
  <c r="K2" i="174"/>
  <c r="AG2" i="173"/>
  <c r="AA2" i="173"/>
  <c r="AB2" i="173" s="1"/>
  <c r="W2" i="173"/>
  <c r="X2" i="173" s="1"/>
  <c r="S2" i="173"/>
  <c r="T2" i="173" s="1"/>
  <c r="O2" i="173"/>
  <c r="K2" i="173"/>
  <c r="K3" i="172"/>
  <c r="L3" i="172" s="1"/>
  <c r="O3" i="172"/>
  <c r="P3" i="172" s="1"/>
  <c r="S3" i="172"/>
  <c r="T3" i="172" s="1"/>
  <c r="W3" i="172"/>
  <c r="AA3" i="172"/>
  <c r="AB3" i="172" s="1"/>
  <c r="AG3" i="172"/>
  <c r="AG2" i="172"/>
  <c r="AA2" i="172"/>
  <c r="AB2" i="172" s="1"/>
  <c r="W2" i="172"/>
  <c r="X2" i="172" s="1"/>
  <c r="S2" i="172"/>
  <c r="O2" i="172"/>
  <c r="P2" i="172" s="1"/>
  <c r="K2" i="172"/>
  <c r="L2" i="172" s="1"/>
  <c r="AG2" i="171"/>
  <c r="AB2" i="171"/>
  <c r="AA2" i="171"/>
  <c r="W2" i="171"/>
  <c r="X2" i="171" s="1"/>
  <c r="S2" i="171"/>
  <c r="T2" i="171" s="1"/>
  <c r="O2" i="171"/>
  <c r="P2" i="171" s="1"/>
  <c r="K2" i="171"/>
  <c r="L2" i="171" s="1"/>
  <c r="AG2" i="170"/>
  <c r="AA2" i="170"/>
  <c r="AB2" i="170" s="1"/>
  <c r="W2" i="170"/>
  <c r="X2" i="170" s="1"/>
  <c r="S2" i="170"/>
  <c r="T2" i="170" s="1"/>
  <c r="O2" i="170"/>
  <c r="P2" i="170" s="1"/>
  <c r="K2" i="170"/>
  <c r="AG2" i="169"/>
  <c r="AB2" i="169"/>
  <c r="AA2" i="169"/>
  <c r="W2" i="169"/>
  <c r="X2" i="169" s="1"/>
  <c r="S2" i="169"/>
  <c r="T2" i="169" s="1"/>
  <c r="O2" i="169"/>
  <c r="P2" i="169" s="1"/>
  <c r="L2" i="169"/>
  <c r="K2" i="169"/>
  <c r="AG2" i="168"/>
  <c r="AA2" i="168"/>
  <c r="AB2" i="168" s="1"/>
  <c r="W2" i="168"/>
  <c r="X2" i="168" s="1"/>
  <c r="S2" i="168"/>
  <c r="T2" i="168" s="1"/>
  <c r="O2" i="168"/>
  <c r="P2" i="168" s="1"/>
  <c r="K2" i="168"/>
  <c r="AG2" i="167"/>
  <c r="AA2" i="167"/>
  <c r="AB2" i="167" s="1"/>
  <c r="W2" i="167"/>
  <c r="X2" i="167" s="1"/>
  <c r="S2" i="167"/>
  <c r="T2" i="167" s="1"/>
  <c r="O2" i="167"/>
  <c r="P2" i="167" s="1"/>
  <c r="K2" i="167"/>
  <c r="K4" i="166"/>
  <c r="L4" i="166" s="1"/>
  <c r="K2" i="166"/>
  <c r="O4" i="166"/>
  <c r="P4" i="166" s="1"/>
  <c r="O2" i="166"/>
  <c r="P2" i="166"/>
  <c r="S4" i="166"/>
  <c r="T4" i="166" s="1"/>
  <c r="S2" i="166"/>
  <c r="T2" i="166" s="1"/>
  <c r="W4" i="166"/>
  <c r="X4" i="166" s="1"/>
  <c r="W2" i="166"/>
  <c r="X2" i="166" s="1"/>
  <c r="AA4" i="166"/>
  <c r="AB4" i="166" s="1"/>
  <c r="AA2" i="166"/>
  <c r="AB2" i="166" s="1"/>
  <c r="AG4" i="166"/>
  <c r="AG2" i="166"/>
  <c r="AG3" i="166"/>
  <c r="AA3" i="166"/>
  <c r="W3" i="166"/>
  <c r="X3" i="166" s="1"/>
  <c r="S3" i="166"/>
  <c r="T3" i="166" s="1"/>
  <c r="O3" i="166"/>
  <c r="P3" i="166" s="1"/>
  <c r="K3" i="166"/>
  <c r="AG2" i="165"/>
  <c r="AA2" i="165"/>
  <c r="AB2" i="165" s="1"/>
  <c r="W2" i="165"/>
  <c r="X2" i="165" s="1"/>
  <c r="S2" i="165"/>
  <c r="T2" i="165" s="1"/>
  <c r="O2" i="165"/>
  <c r="P2" i="165" s="1"/>
  <c r="K2" i="165"/>
  <c r="L2" i="165" s="1"/>
  <c r="AG2" i="164"/>
  <c r="AA2" i="164"/>
  <c r="AB2" i="164" s="1"/>
  <c r="W2" i="164"/>
  <c r="X2" i="164" s="1"/>
  <c r="S2" i="164"/>
  <c r="T2" i="164" s="1"/>
  <c r="O2" i="164"/>
  <c r="P2" i="164" s="1"/>
  <c r="L2" i="164"/>
  <c r="K2" i="164"/>
  <c r="AG2" i="163"/>
  <c r="AB2" i="163"/>
  <c r="AA2" i="163"/>
  <c r="W2" i="163"/>
  <c r="X2" i="163" s="1"/>
  <c r="S2" i="163"/>
  <c r="T2" i="163" s="1"/>
  <c r="O2" i="163"/>
  <c r="P2" i="163" s="1"/>
  <c r="L2" i="163"/>
  <c r="K2" i="163"/>
  <c r="AG2" i="162"/>
  <c r="AA2" i="162"/>
  <c r="AB2" i="162" s="1"/>
  <c r="W2" i="162"/>
  <c r="X2" i="162" s="1"/>
  <c r="S2" i="162"/>
  <c r="T2" i="162" s="1"/>
  <c r="O2" i="162"/>
  <c r="K2" i="162"/>
  <c r="L2" i="162" s="1"/>
  <c r="AG3" i="161"/>
  <c r="AA3" i="161"/>
  <c r="AB3" i="161" s="1"/>
  <c r="W3" i="161"/>
  <c r="X3" i="161" s="1"/>
  <c r="S3" i="161"/>
  <c r="T3" i="161" s="1"/>
  <c r="O3" i="161"/>
  <c r="K3" i="161"/>
  <c r="L3" i="161" s="1"/>
  <c r="AG2" i="161"/>
  <c r="AA2" i="161"/>
  <c r="AB2" i="161" s="1"/>
  <c r="W2" i="161"/>
  <c r="X2" i="161" s="1"/>
  <c r="S2" i="161"/>
  <c r="T2" i="161" s="1"/>
  <c r="O2" i="161"/>
  <c r="K2" i="161"/>
  <c r="L2" i="161" s="1"/>
  <c r="AG2" i="160"/>
  <c r="AA2" i="160"/>
  <c r="AB2" i="160" s="1"/>
  <c r="W2" i="160"/>
  <c r="X2" i="160" s="1"/>
  <c r="S2" i="160"/>
  <c r="T2" i="160" s="1"/>
  <c r="K2" i="160"/>
  <c r="AG3" i="160"/>
  <c r="AA3" i="160"/>
  <c r="AB3" i="160" s="1"/>
  <c r="W3" i="160"/>
  <c r="X3" i="160" s="1"/>
  <c r="S3" i="160"/>
  <c r="T3" i="160" s="1"/>
  <c r="AG3" i="159"/>
  <c r="AA3" i="159"/>
  <c r="AB3" i="159" s="1"/>
  <c r="W3" i="159"/>
  <c r="X3" i="159" s="1"/>
  <c r="S3" i="159"/>
  <c r="T3" i="159" s="1"/>
  <c r="O3" i="159"/>
  <c r="K3" i="159"/>
  <c r="AG2" i="159"/>
  <c r="AA2" i="159"/>
  <c r="AB2" i="159" s="1"/>
  <c r="W2" i="159"/>
  <c r="X2" i="159" s="1"/>
  <c r="S2" i="159"/>
  <c r="O2" i="159"/>
  <c r="K2" i="159"/>
  <c r="AG4" i="159"/>
  <c r="AA4" i="159"/>
  <c r="AB4" i="159" s="1"/>
  <c r="W4" i="159"/>
  <c r="X4" i="159" s="1"/>
  <c r="S4" i="159"/>
  <c r="P4" i="159"/>
  <c r="K4" i="159"/>
  <c r="K4" i="158"/>
  <c r="K2" i="158"/>
  <c r="L2" i="158" s="1"/>
  <c r="K5" i="158"/>
  <c r="O4" i="158"/>
  <c r="O2" i="158"/>
  <c r="O5" i="158"/>
  <c r="S4" i="158"/>
  <c r="S2" i="158"/>
  <c r="S5" i="158"/>
  <c r="W4" i="158"/>
  <c r="W2" i="158"/>
  <c r="W5" i="158"/>
  <c r="AA4" i="158"/>
  <c r="AB4" i="158" s="1"/>
  <c r="AA2" i="158"/>
  <c r="AA5" i="158"/>
  <c r="AG4" i="158"/>
  <c r="AG2" i="158"/>
  <c r="AG5" i="158"/>
  <c r="AG3" i="158"/>
  <c r="AA3" i="158"/>
  <c r="AB3" i="158" s="1"/>
  <c r="W3" i="158"/>
  <c r="X3" i="158" s="1"/>
  <c r="S3" i="158"/>
  <c r="T3" i="158" s="1"/>
  <c r="O3" i="158"/>
  <c r="P3" i="158" s="1"/>
  <c r="K3" i="158"/>
  <c r="AD2" i="175" l="1"/>
  <c r="AD2" i="167"/>
  <c r="AD2" i="166"/>
  <c r="AD3" i="166"/>
  <c r="AD2" i="170"/>
  <c r="AE2" i="174"/>
  <c r="T2" i="176"/>
  <c r="AC2" i="176"/>
  <c r="AC2" i="174"/>
  <c r="AC3" i="176"/>
  <c r="L2" i="166"/>
  <c r="AB3" i="166"/>
  <c r="AE2" i="166"/>
  <c r="AC2" i="166"/>
  <c r="AE4" i="166"/>
  <c r="AC4" i="166"/>
  <c r="AC3" i="166"/>
  <c r="AE2" i="171"/>
  <c r="AC2" i="171"/>
  <c r="AE2" i="169"/>
  <c r="AE2" i="172"/>
  <c r="L2" i="170"/>
  <c r="AE2" i="170"/>
  <c r="AE2" i="163"/>
  <c r="AE2" i="164"/>
  <c r="AC3" i="161"/>
  <c r="AC2" i="161"/>
  <c r="L2" i="160"/>
  <c r="X4" i="158"/>
  <c r="T5" i="158"/>
  <c r="T2" i="158"/>
  <c r="T4" i="158"/>
  <c r="P5" i="158"/>
  <c r="AB2" i="158"/>
  <c r="P2" i="158"/>
  <c r="AB5" i="158"/>
  <c r="X5" i="158"/>
  <c r="X2" i="158"/>
  <c r="AE5" i="158"/>
  <c r="AC5" i="158"/>
  <c r="AC2" i="158"/>
  <c r="AE4" i="158"/>
  <c r="AC4" i="158"/>
  <c r="L4" i="158"/>
  <c r="AE2" i="175"/>
  <c r="AC2" i="175"/>
  <c r="L2" i="174"/>
  <c r="P2" i="174"/>
  <c r="L2" i="173"/>
  <c r="AE2" i="173"/>
  <c r="P2" i="173"/>
  <c r="AC2" i="173"/>
  <c r="X3" i="172"/>
  <c r="AE3" i="172"/>
  <c r="AC3" i="172"/>
  <c r="AC2" i="172"/>
  <c r="T2" i="172"/>
  <c r="AC2" i="170"/>
  <c r="AC2" i="169"/>
  <c r="L2" i="168"/>
  <c r="AC2" i="168"/>
  <c r="AE2" i="168"/>
  <c r="AC2" i="167"/>
  <c r="AE2" i="167"/>
  <c r="L2" i="167"/>
  <c r="AE3" i="166"/>
  <c r="L3" i="166"/>
  <c r="AE2" i="165"/>
  <c r="AC2" i="165"/>
  <c r="AC2" i="164"/>
  <c r="AC2" i="163"/>
  <c r="AE2" i="162"/>
  <c r="P2" i="162"/>
  <c r="AC2" i="162"/>
  <c r="P2" i="161"/>
  <c r="P3" i="161"/>
  <c r="AE3" i="161"/>
  <c r="AE2" i="161"/>
  <c r="P2" i="160"/>
  <c r="AC3" i="160"/>
  <c r="AC2" i="160"/>
  <c r="AE3" i="160"/>
  <c r="AE2" i="160"/>
  <c r="L3" i="159"/>
  <c r="AC4" i="159"/>
  <c r="L2" i="159"/>
  <c r="AE3" i="159"/>
  <c r="AE4" i="159"/>
  <c r="T4" i="159"/>
  <c r="AE2" i="159"/>
  <c r="P3" i="159"/>
  <c r="T2" i="159"/>
  <c r="AC2" i="159"/>
  <c r="P2" i="159"/>
  <c r="AC3" i="159"/>
  <c r="L4" i="159"/>
  <c r="AE2" i="158"/>
  <c r="L5" i="158"/>
  <c r="AF5" i="158"/>
  <c r="AH5" i="158" s="1"/>
  <c r="P4" i="158"/>
  <c r="AC3" i="158"/>
  <c r="L3" i="158"/>
  <c r="AE3" i="158"/>
  <c r="AG2" i="157"/>
  <c r="AA2" i="157"/>
  <c r="AB2" i="157" s="1"/>
  <c r="W2" i="157"/>
  <c r="X2" i="157" s="1"/>
  <c r="S2" i="157"/>
  <c r="T2" i="157" s="1"/>
  <c r="O2" i="157"/>
  <c r="K2" i="157"/>
  <c r="L2" i="157" s="1"/>
  <c r="AF2" i="158" l="1"/>
  <c r="AH2" i="158" s="1"/>
  <c r="AI5" i="158" s="1"/>
  <c r="AF2" i="174"/>
  <c r="AH2" i="174" s="1"/>
  <c r="AI2" i="174" s="1"/>
  <c r="AF2" i="176"/>
  <c r="AH2" i="176" s="1"/>
  <c r="AI2" i="176" s="1"/>
  <c r="AF3" i="176"/>
  <c r="AH3" i="176" s="1"/>
  <c r="AI3" i="176" s="1"/>
  <c r="AF2" i="167"/>
  <c r="AH2" i="167" s="1"/>
  <c r="AI2" i="167" s="1"/>
  <c r="AF2" i="166"/>
  <c r="AH2" i="166" s="1"/>
  <c r="AI2" i="166" s="1"/>
  <c r="AF4" i="166"/>
  <c r="AH4" i="166" s="1"/>
  <c r="AF3" i="166"/>
  <c r="AH3" i="166" s="1"/>
  <c r="AI3" i="166" s="1"/>
  <c r="AF2" i="171"/>
  <c r="AH2" i="171" s="1"/>
  <c r="AI2" i="171" s="1"/>
  <c r="AF2" i="169"/>
  <c r="AH2" i="169" s="1"/>
  <c r="AI2" i="169" s="1"/>
  <c r="AF2" i="173"/>
  <c r="AH2" i="173" s="1"/>
  <c r="AI2" i="173" s="1"/>
  <c r="AF3" i="172"/>
  <c r="AH3" i="172" s="1"/>
  <c r="AI3" i="172" s="1"/>
  <c r="AF2" i="172"/>
  <c r="AH2" i="172" s="1"/>
  <c r="AI2" i="172" s="1"/>
  <c r="AF2" i="170"/>
  <c r="AH2" i="170" s="1"/>
  <c r="AI2" i="170" s="1"/>
  <c r="AF2" i="165"/>
  <c r="AH2" i="165" s="1"/>
  <c r="AI2" i="165" s="1"/>
  <c r="AF2" i="163"/>
  <c r="AH2" i="163" s="1"/>
  <c r="AI2" i="163" s="1"/>
  <c r="AF2" i="164"/>
  <c r="AH2" i="164" s="1"/>
  <c r="AI2" i="164" s="1"/>
  <c r="AF3" i="161"/>
  <c r="AH3" i="161" s="1"/>
  <c r="AI3" i="161" s="1"/>
  <c r="AF2" i="161"/>
  <c r="AH2" i="161" s="1"/>
  <c r="AI2" i="161" s="1"/>
  <c r="AF2" i="160"/>
  <c r="AH2" i="160" s="1"/>
  <c r="AI2" i="160" s="1"/>
  <c r="AF3" i="160"/>
  <c r="AH3" i="160" s="1"/>
  <c r="AI3" i="160" s="1"/>
  <c r="AF3" i="159"/>
  <c r="AH3" i="159" s="1"/>
  <c r="AF4" i="158"/>
  <c r="AH4" i="158" s="1"/>
  <c r="AF2" i="175"/>
  <c r="AH2" i="175" s="1"/>
  <c r="AI2" i="175" s="1"/>
  <c r="AF2" i="168"/>
  <c r="AH2" i="168" s="1"/>
  <c r="AI2" i="168" s="1"/>
  <c r="AF2" i="162"/>
  <c r="AH2" i="162" s="1"/>
  <c r="AI2" i="162" s="1"/>
  <c r="AF2" i="159"/>
  <c r="AH2" i="159" s="1"/>
  <c r="AI2" i="159" s="1"/>
  <c r="AF4" i="159"/>
  <c r="AH4" i="159" s="1"/>
  <c r="AF3" i="158"/>
  <c r="AH3" i="158" s="1"/>
  <c r="AC2" i="157"/>
  <c r="AE2" i="157"/>
  <c r="AF2" i="157"/>
  <c r="AH2" i="157" s="1"/>
  <c r="AI2" i="157" s="1"/>
  <c r="P2" i="157"/>
  <c r="AI4" i="166" l="1"/>
  <c r="AI3" i="158"/>
  <c r="AI3" i="159"/>
  <c r="AI4" i="159"/>
  <c r="AI4" i="158"/>
  <c r="AI2" i="158"/>
  <c r="AG3" i="156"/>
  <c r="AA3" i="156"/>
  <c r="W3" i="156"/>
  <c r="X3" i="156" s="1"/>
  <c r="S3" i="156"/>
  <c r="T3" i="156" s="1"/>
  <c r="O3" i="156"/>
  <c r="P3" i="156" s="1"/>
  <c r="K3" i="156"/>
  <c r="AG2" i="156"/>
  <c r="AA2" i="156"/>
  <c r="AB2" i="156" s="1"/>
  <c r="W2" i="156"/>
  <c r="X2" i="156" s="1"/>
  <c r="S2" i="156"/>
  <c r="T2" i="156" s="1"/>
  <c r="O2" i="156"/>
  <c r="P2" i="156" s="1"/>
  <c r="K2" i="156"/>
  <c r="AG2" i="155"/>
  <c r="AA2" i="155"/>
  <c r="AB2" i="155" s="1"/>
  <c r="W2" i="155"/>
  <c r="X2" i="155" s="1"/>
  <c r="S2" i="155"/>
  <c r="T2" i="155" s="1"/>
  <c r="O2" i="155"/>
  <c r="K2" i="155"/>
  <c r="L2" i="155" s="1"/>
  <c r="AG3" i="155"/>
  <c r="AA3" i="155"/>
  <c r="AB3" i="155" s="1"/>
  <c r="W3" i="155"/>
  <c r="X3" i="155" s="1"/>
  <c r="S3" i="155"/>
  <c r="T3" i="155" s="1"/>
  <c r="O3" i="155"/>
  <c r="K3" i="155"/>
  <c r="L3" i="155" s="1"/>
  <c r="AG4" i="155"/>
  <c r="AA4" i="155"/>
  <c r="AB4" i="155" s="1"/>
  <c r="W4" i="155"/>
  <c r="X4" i="155" s="1"/>
  <c r="S4" i="155"/>
  <c r="T4" i="155" s="1"/>
  <c r="O4" i="155"/>
  <c r="P4" i="155" s="1"/>
  <c r="K4" i="155"/>
  <c r="L4" i="155" s="1"/>
  <c r="K4" i="154"/>
  <c r="L4" i="154" s="1"/>
  <c r="O4" i="154"/>
  <c r="S4" i="154"/>
  <c r="W4" i="154"/>
  <c r="X4" i="154" s="1"/>
  <c r="AA4" i="154"/>
  <c r="AB4" i="154"/>
  <c r="AG4" i="154"/>
  <c r="K2" i="154"/>
  <c r="L2" i="154" s="1"/>
  <c r="O2" i="154"/>
  <c r="S2" i="154"/>
  <c r="W2" i="154"/>
  <c r="X2" i="154" s="1"/>
  <c r="AA2" i="154"/>
  <c r="AB2" i="154" s="1"/>
  <c r="AG2" i="154"/>
  <c r="AG3" i="154"/>
  <c r="AA3" i="154"/>
  <c r="AB3" i="154" s="1"/>
  <c r="W3" i="154"/>
  <c r="X3" i="154" s="1"/>
  <c r="S3" i="154"/>
  <c r="T3" i="154" s="1"/>
  <c r="O3" i="154"/>
  <c r="P3" i="154" s="1"/>
  <c r="K3" i="154"/>
  <c r="AG2" i="153"/>
  <c r="AA2" i="153"/>
  <c r="AB2" i="153" s="1"/>
  <c r="W2" i="153"/>
  <c r="X2" i="153" s="1"/>
  <c r="S2" i="153"/>
  <c r="T2" i="153" s="1"/>
  <c r="O2" i="153"/>
  <c r="P2" i="153" s="1"/>
  <c r="K2" i="153"/>
  <c r="AG2" i="152"/>
  <c r="AA2" i="152"/>
  <c r="AB2" i="152" s="1"/>
  <c r="W2" i="152"/>
  <c r="X2" i="152" s="1"/>
  <c r="S2" i="152"/>
  <c r="T2" i="152" s="1"/>
  <c r="O2" i="152"/>
  <c r="P2" i="152" s="1"/>
  <c r="K2" i="152"/>
  <c r="AG2" i="151"/>
  <c r="AA2" i="151"/>
  <c r="AB2" i="151" s="1"/>
  <c r="W2" i="151"/>
  <c r="X2" i="151" s="1"/>
  <c r="S2" i="151"/>
  <c r="T2" i="151" s="1"/>
  <c r="O2" i="151"/>
  <c r="P2" i="151" s="1"/>
  <c r="K2" i="151"/>
  <c r="L2" i="151" s="1"/>
  <c r="AG2" i="150"/>
  <c r="AA2" i="150"/>
  <c r="AB2" i="150" s="1"/>
  <c r="X2" i="150"/>
  <c r="W2" i="150"/>
  <c r="S2" i="150"/>
  <c r="T2" i="150" s="1"/>
  <c r="O2" i="150"/>
  <c r="P2" i="150" s="1"/>
  <c r="L2" i="150"/>
  <c r="K2" i="150"/>
  <c r="AG2" i="149"/>
  <c r="AA2" i="149"/>
  <c r="AB2" i="149" s="1"/>
  <c r="W2" i="149"/>
  <c r="X2" i="149" s="1"/>
  <c r="S2" i="149"/>
  <c r="T2" i="149" s="1"/>
  <c r="O2" i="149"/>
  <c r="P2" i="149" s="1"/>
  <c r="K2" i="149"/>
  <c r="AG2" i="148"/>
  <c r="AB2" i="148"/>
  <c r="AA2" i="148"/>
  <c r="X2" i="148"/>
  <c r="W2" i="148"/>
  <c r="S2" i="148"/>
  <c r="T2" i="148" s="1"/>
  <c r="O2" i="148"/>
  <c r="P2" i="148" s="1"/>
  <c r="K2" i="148"/>
  <c r="AG2" i="147"/>
  <c r="AA2" i="147"/>
  <c r="AB2" i="147" s="1"/>
  <c r="W2" i="147"/>
  <c r="X2" i="147" s="1"/>
  <c r="S2" i="147"/>
  <c r="T2" i="147" s="1"/>
  <c r="O2" i="147"/>
  <c r="P2" i="147" s="1"/>
  <c r="K2" i="147"/>
  <c r="AG3" i="146"/>
  <c r="AA3" i="146"/>
  <c r="W3" i="146"/>
  <c r="S3" i="146"/>
  <c r="O3" i="146"/>
  <c r="K3" i="146"/>
  <c r="AG5" i="146"/>
  <c r="AA5" i="146"/>
  <c r="AB5" i="146" s="1"/>
  <c r="W5" i="146"/>
  <c r="S5" i="146"/>
  <c r="O5" i="146"/>
  <c r="P5" i="146" s="1"/>
  <c r="K5" i="146"/>
  <c r="AG2" i="146"/>
  <c r="AA2" i="146"/>
  <c r="W2" i="146"/>
  <c r="X2" i="146" s="1"/>
  <c r="S2" i="146"/>
  <c r="T2" i="146" s="1"/>
  <c r="O2" i="146"/>
  <c r="K2" i="146"/>
  <c r="AG4" i="146"/>
  <c r="AA4" i="146"/>
  <c r="AB2" i="146" s="1"/>
  <c r="W4" i="146"/>
  <c r="X4" i="146" s="1"/>
  <c r="S4" i="146"/>
  <c r="T4" i="146" s="1"/>
  <c r="O4" i="146"/>
  <c r="P4" i="146" s="1"/>
  <c r="K4" i="146"/>
  <c r="K7" i="145"/>
  <c r="L7" i="145" s="1"/>
  <c r="O7" i="145"/>
  <c r="S7" i="145"/>
  <c r="T7" i="145"/>
  <c r="W7" i="145"/>
  <c r="X7" i="145"/>
  <c r="AA7" i="145"/>
  <c r="AB7" i="145" s="1"/>
  <c r="AG7" i="145"/>
  <c r="K2" i="145"/>
  <c r="L2" i="145" s="1"/>
  <c r="O2" i="145"/>
  <c r="S2" i="145"/>
  <c r="W2" i="145"/>
  <c r="AA2" i="145"/>
  <c r="AB2" i="145" s="1"/>
  <c r="AG2" i="145"/>
  <c r="K3" i="145"/>
  <c r="O3" i="145"/>
  <c r="S3" i="145"/>
  <c r="W3" i="145"/>
  <c r="AA3" i="145"/>
  <c r="AG3" i="145"/>
  <c r="K6" i="145"/>
  <c r="O6" i="145"/>
  <c r="S6" i="145"/>
  <c r="W6" i="145"/>
  <c r="AA6" i="145"/>
  <c r="AG6" i="145"/>
  <c r="K5" i="145"/>
  <c r="O5" i="145"/>
  <c r="S5" i="145"/>
  <c r="T2" i="145" s="1"/>
  <c r="W5" i="145"/>
  <c r="AA5" i="145"/>
  <c r="AB3" i="145" s="1"/>
  <c r="AG5" i="145"/>
  <c r="AG4" i="145"/>
  <c r="AA4" i="145"/>
  <c r="W4" i="145"/>
  <c r="S4" i="145"/>
  <c r="O4" i="145"/>
  <c r="P4" i="145" s="1"/>
  <c r="K4" i="145"/>
  <c r="AG8" i="145"/>
  <c r="AA8" i="145"/>
  <c r="W8" i="145"/>
  <c r="S8" i="145"/>
  <c r="O8" i="145"/>
  <c r="K8" i="145"/>
  <c r="AG2" i="144"/>
  <c r="AA2" i="144"/>
  <c r="AB2" i="144" s="1"/>
  <c r="W2" i="144"/>
  <c r="X2" i="144" s="1"/>
  <c r="S2" i="144"/>
  <c r="O2" i="144"/>
  <c r="K2" i="144"/>
  <c r="L2" i="144" s="1"/>
  <c r="AG3" i="144"/>
  <c r="AA3" i="144"/>
  <c r="AB3" i="144" s="1"/>
  <c r="W3" i="144"/>
  <c r="X3" i="144" s="1"/>
  <c r="S3" i="144"/>
  <c r="T3" i="144" s="1"/>
  <c r="O3" i="144"/>
  <c r="P3" i="144" s="1"/>
  <c r="K3" i="144"/>
  <c r="L3" i="144" s="1"/>
  <c r="AG4" i="143"/>
  <c r="AA4" i="143"/>
  <c r="AB4" i="143" s="1"/>
  <c r="W4" i="143"/>
  <c r="S4" i="143"/>
  <c r="O4" i="143"/>
  <c r="K4" i="143"/>
  <c r="L4" i="143" s="1"/>
  <c r="AG3" i="143"/>
  <c r="AA3" i="143"/>
  <c r="AB3" i="143" s="1"/>
  <c r="W3" i="143"/>
  <c r="S3" i="143"/>
  <c r="T3" i="143" s="1"/>
  <c r="O3" i="143"/>
  <c r="P3" i="143" s="1"/>
  <c r="K3" i="143"/>
  <c r="AG2" i="143"/>
  <c r="AA2" i="143"/>
  <c r="AB2" i="143" s="1"/>
  <c r="W2" i="143"/>
  <c r="S2" i="143"/>
  <c r="O2" i="143"/>
  <c r="P2" i="143" s="1"/>
  <c r="K2" i="143"/>
  <c r="L2" i="143" s="1"/>
  <c r="P3" i="155" l="1"/>
  <c r="AC2" i="155"/>
  <c r="AF2" i="155" s="1"/>
  <c r="AH2" i="155" s="1"/>
  <c r="AC3" i="146"/>
  <c r="AF3" i="146" s="1"/>
  <c r="AH3" i="146" s="1"/>
  <c r="P2" i="154"/>
  <c r="P4" i="154"/>
  <c r="AC4" i="154"/>
  <c r="AF4" i="154" s="1"/>
  <c r="AH4" i="154" s="1"/>
  <c r="P7" i="145"/>
  <c r="AC2" i="153"/>
  <c r="AF2" i="153" s="1"/>
  <c r="AH2" i="153" s="1"/>
  <c r="AI2" i="153" s="1"/>
  <c r="AC2" i="152"/>
  <c r="AF2" i="152" s="1"/>
  <c r="AH2" i="152" s="1"/>
  <c r="AI2" i="152" s="1"/>
  <c r="AC6" i="145"/>
  <c r="AF6" i="145" s="1"/>
  <c r="AH6" i="145" s="1"/>
  <c r="AC2" i="147"/>
  <c r="AF2" i="147" s="1"/>
  <c r="AH2" i="147" s="1"/>
  <c r="AC2" i="148"/>
  <c r="AF2" i="148" s="1"/>
  <c r="AH2" i="148" s="1"/>
  <c r="AI2" i="148" s="1"/>
  <c r="AC2" i="149"/>
  <c r="AF2" i="149" s="1"/>
  <c r="AH2" i="149" s="1"/>
  <c r="AI2" i="149" s="1"/>
  <c r="AC3" i="143"/>
  <c r="AF3" i="143" s="1"/>
  <c r="AH3" i="143" s="1"/>
  <c r="AE2" i="156"/>
  <c r="AE3" i="156"/>
  <c r="AC2" i="156"/>
  <c r="AB3" i="156"/>
  <c r="L3" i="156"/>
  <c r="L2" i="156"/>
  <c r="AC3" i="156"/>
  <c r="AC3" i="155"/>
  <c r="AF3" i="155" s="1"/>
  <c r="AH3" i="155" s="1"/>
  <c r="AI3" i="155" s="1"/>
  <c r="P2" i="155"/>
  <c r="AC4" i="155"/>
  <c r="AF4" i="155" s="1"/>
  <c r="AH4" i="155" s="1"/>
  <c r="T4" i="154"/>
  <c r="AC2" i="154"/>
  <c r="AF2" i="154" s="1"/>
  <c r="AH2" i="154" s="1"/>
  <c r="T2" i="154"/>
  <c r="AC3" i="154"/>
  <c r="AF3" i="154" s="1"/>
  <c r="AH3" i="154" s="1"/>
  <c r="L3" i="154"/>
  <c r="L2" i="153"/>
  <c r="L2" i="152"/>
  <c r="AC2" i="151"/>
  <c r="AF2" i="151" s="1"/>
  <c r="AH2" i="151" s="1"/>
  <c r="AI2" i="151" s="1"/>
  <c r="AC2" i="150"/>
  <c r="AF2" i="150" s="1"/>
  <c r="AH2" i="150" s="1"/>
  <c r="AI2" i="150" s="1"/>
  <c r="L2" i="149"/>
  <c r="L2" i="148"/>
  <c r="L2" i="147"/>
  <c r="T3" i="146"/>
  <c r="AC5" i="146"/>
  <c r="AF5" i="146" s="1"/>
  <c r="AH5" i="146" s="1"/>
  <c r="P3" i="146"/>
  <c r="L2" i="146"/>
  <c r="T5" i="146"/>
  <c r="X5" i="146"/>
  <c r="L4" i="146"/>
  <c r="AB4" i="146"/>
  <c r="AC2" i="146"/>
  <c r="AF2" i="146" s="1"/>
  <c r="AH2" i="146" s="1"/>
  <c r="AI2" i="146" s="1"/>
  <c r="AC4" i="146"/>
  <c r="AF4" i="146" s="1"/>
  <c r="AH4" i="146" s="1"/>
  <c r="AI4" i="146" s="1"/>
  <c r="P2" i="146"/>
  <c r="X3" i="146"/>
  <c r="L3" i="146"/>
  <c r="AB3" i="146"/>
  <c r="L5" i="146"/>
  <c r="L5" i="145"/>
  <c r="X4" i="145"/>
  <c r="AC2" i="145"/>
  <c r="AF2" i="145" s="1"/>
  <c r="AH2" i="145" s="1"/>
  <c r="AC7" i="145"/>
  <c r="AF7" i="145" s="1"/>
  <c r="AH7" i="145" s="1"/>
  <c r="AC3" i="145"/>
  <c r="AF3" i="145" s="1"/>
  <c r="AH3" i="145" s="1"/>
  <c r="P2" i="145"/>
  <c r="L3" i="145"/>
  <c r="X2" i="145"/>
  <c r="AB6" i="145"/>
  <c r="X3" i="145"/>
  <c r="X8" i="145"/>
  <c r="X5" i="145"/>
  <c r="AB4" i="145"/>
  <c r="T3" i="145"/>
  <c r="P8" i="145"/>
  <c r="T8" i="145"/>
  <c r="P3" i="145"/>
  <c r="X6" i="145"/>
  <c r="AC4" i="145"/>
  <c r="AF4" i="145" s="1"/>
  <c r="AH4" i="145" s="1"/>
  <c r="T5" i="145"/>
  <c r="P6" i="145"/>
  <c r="T4" i="145"/>
  <c r="T6" i="145"/>
  <c r="AB5" i="145"/>
  <c r="AC5" i="145"/>
  <c r="AF5" i="145" s="1"/>
  <c r="AH5" i="145" s="1"/>
  <c r="P5" i="145"/>
  <c r="L6" i="145"/>
  <c r="L4" i="145"/>
  <c r="L8" i="145"/>
  <c r="AB8" i="145"/>
  <c r="AC8" i="145"/>
  <c r="AF8" i="145" s="1"/>
  <c r="AH8" i="145" s="1"/>
  <c r="AC3" i="144"/>
  <c r="AF3" i="144" s="1"/>
  <c r="AH3" i="144" s="1"/>
  <c r="AI3" i="144" s="1"/>
  <c r="P2" i="144"/>
  <c r="T2" i="144"/>
  <c r="AC2" i="144"/>
  <c r="AF2" i="144" s="1"/>
  <c r="AH2" i="144" s="1"/>
  <c r="AI2" i="144" s="1"/>
  <c r="P4" i="143"/>
  <c r="T4" i="143"/>
  <c r="T2" i="143"/>
  <c r="X2" i="143"/>
  <c r="X3" i="143"/>
  <c r="AC2" i="143"/>
  <c r="AF2" i="143" s="1"/>
  <c r="AH2" i="143" s="1"/>
  <c r="X4" i="143"/>
  <c r="L3" i="143"/>
  <c r="AC4" i="143"/>
  <c r="AF4" i="143" s="1"/>
  <c r="AH4" i="143" s="1"/>
  <c r="K5" i="142"/>
  <c r="O5" i="142"/>
  <c r="P5" i="142"/>
  <c r="S5" i="142"/>
  <c r="W5" i="142"/>
  <c r="X5" i="142" s="1"/>
  <c r="AA5" i="142"/>
  <c r="AG5" i="142"/>
  <c r="K6" i="142"/>
  <c r="L6" i="142" s="1"/>
  <c r="O6" i="142"/>
  <c r="S6" i="142"/>
  <c r="W6" i="142"/>
  <c r="AA6" i="142"/>
  <c r="AB6" i="142" s="1"/>
  <c r="AG6" i="142"/>
  <c r="K2" i="142"/>
  <c r="O2" i="142"/>
  <c r="P2" i="142" s="1"/>
  <c r="S2" i="142"/>
  <c r="T2" i="142" s="1"/>
  <c r="W2" i="142"/>
  <c r="AA2" i="142"/>
  <c r="AG2" i="142"/>
  <c r="AG3" i="142"/>
  <c r="AA3" i="142"/>
  <c r="W3" i="142"/>
  <c r="S3" i="142"/>
  <c r="O3" i="142"/>
  <c r="K3" i="142"/>
  <c r="L5" i="142" s="1"/>
  <c r="AG4" i="142"/>
  <c r="AA4" i="142"/>
  <c r="W4" i="142"/>
  <c r="S4" i="142"/>
  <c r="T4" i="142" s="1"/>
  <c r="O4" i="142"/>
  <c r="K4" i="142"/>
  <c r="K3" i="141"/>
  <c r="L3" i="141" s="1"/>
  <c r="O3" i="141"/>
  <c r="P3" i="141"/>
  <c r="S3" i="141"/>
  <c r="AC3" i="141" s="1"/>
  <c r="AF3" i="141" s="1"/>
  <c r="AH3" i="141" s="1"/>
  <c r="W3" i="141"/>
  <c r="X3" i="141" s="1"/>
  <c r="AA3" i="141"/>
  <c r="AB3" i="141" s="1"/>
  <c r="AG3" i="141"/>
  <c r="AG2" i="141"/>
  <c r="AA2" i="141"/>
  <c r="AB2" i="141" s="1"/>
  <c r="W2" i="141"/>
  <c r="X2" i="141" s="1"/>
  <c r="S2" i="141"/>
  <c r="T2" i="141" s="1"/>
  <c r="O2" i="141"/>
  <c r="P2" i="141" s="1"/>
  <c r="K2" i="141"/>
  <c r="L2" i="141" s="1"/>
  <c r="AG2" i="140"/>
  <c r="AA2" i="140"/>
  <c r="AB2" i="140" s="1"/>
  <c r="W2" i="140"/>
  <c r="X2" i="140" s="1"/>
  <c r="S2" i="140"/>
  <c r="T2" i="140" s="1"/>
  <c r="O2" i="140"/>
  <c r="P2" i="140" s="1"/>
  <c r="K2" i="140"/>
  <c r="K3" i="139"/>
  <c r="L3" i="139" s="1"/>
  <c r="O3" i="139"/>
  <c r="P3" i="139" s="1"/>
  <c r="S3" i="139"/>
  <c r="W3" i="139"/>
  <c r="X3" i="139"/>
  <c r="AA3" i="139"/>
  <c r="AB3" i="139"/>
  <c r="AG3" i="139"/>
  <c r="AG4" i="139"/>
  <c r="AA4" i="139"/>
  <c r="W4" i="139"/>
  <c r="S4" i="139"/>
  <c r="T4" i="139" s="1"/>
  <c r="O4" i="139"/>
  <c r="K4" i="139"/>
  <c r="AG2" i="139"/>
  <c r="AA2" i="139"/>
  <c r="AB2" i="139" s="1"/>
  <c r="W2" i="139"/>
  <c r="X2" i="139" s="1"/>
  <c r="S2" i="139"/>
  <c r="T2" i="139" s="1"/>
  <c r="P2" i="139"/>
  <c r="O2" i="139"/>
  <c r="K2" i="139"/>
  <c r="L2" i="139" s="1"/>
  <c r="AG2" i="138"/>
  <c r="AA2" i="138"/>
  <c r="AB2" i="138" s="1"/>
  <c r="W2" i="138"/>
  <c r="X2" i="138" s="1"/>
  <c r="S2" i="138"/>
  <c r="O2" i="138"/>
  <c r="K2" i="138"/>
  <c r="L2" i="138" s="1"/>
  <c r="AG3" i="138"/>
  <c r="AA3" i="138"/>
  <c r="AB3" i="138" s="1"/>
  <c r="W3" i="138"/>
  <c r="X3" i="138" s="1"/>
  <c r="S3" i="138"/>
  <c r="T3" i="138" s="1"/>
  <c r="O3" i="138"/>
  <c r="K3" i="138"/>
  <c r="AG6" i="137"/>
  <c r="AA6" i="137"/>
  <c r="W6" i="137"/>
  <c r="S6" i="137"/>
  <c r="O6" i="137"/>
  <c r="K6" i="137"/>
  <c r="AG5" i="137"/>
  <c r="AA5" i="137"/>
  <c r="W5" i="137"/>
  <c r="S5" i="137"/>
  <c r="O5" i="137"/>
  <c r="K5" i="137"/>
  <c r="AG7" i="137"/>
  <c r="AA7" i="137"/>
  <c r="AB7" i="137" s="1"/>
  <c r="W7" i="137"/>
  <c r="S7" i="137"/>
  <c r="O7" i="137"/>
  <c r="K7" i="137"/>
  <c r="AG3" i="137"/>
  <c r="AA3" i="137"/>
  <c r="AB3" i="137" s="1"/>
  <c r="W3" i="137"/>
  <c r="S3" i="137"/>
  <c r="O3" i="137"/>
  <c r="K3" i="137"/>
  <c r="AG4" i="137"/>
  <c r="AA4" i="137"/>
  <c r="W4" i="137"/>
  <c r="X4" i="137" s="1"/>
  <c r="S4" i="137"/>
  <c r="O4" i="137"/>
  <c r="P4" i="137" s="1"/>
  <c r="K4" i="137"/>
  <c r="AG2" i="137"/>
  <c r="AA2" i="137"/>
  <c r="AB2" i="137" s="1"/>
  <c r="W2" i="137"/>
  <c r="S2" i="137"/>
  <c r="O2" i="137"/>
  <c r="K2" i="137"/>
  <c r="L2" i="137" s="1"/>
  <c r="K3" i="136"/>
  <c r="L3" i="136" s="1"/>
  <c r="O3" i="136"/>
  <c r="P3" i="136"/>
  <c r="S3" i="136"/>
  <c r="W3" i="136"/>
  <c r="X3" i="136" s="1"/>
  <c r="AA3" i="136"/>
  <c r="AG3" i="136"/>
  <c r="K2" i="136"/>
  <c r="L2" i="136" s="1"/>
  <c r="O2" i="136"/>
  <c r="S2" i="136"/>
  <c r="W2" i="136"/>
  <c r="X2" i="136" s="1"/>
  <c r="AA2" i="136"/>
  <c r="AB2" i="136" s="1"/>
  <c r="AG2" i="136"/>
  <c r="K7" i="136"/>
  <c r="L7" i="136" s="1"/>
  <c r="O7" i="136"/>
  <c r="S7" i="136"/>
  <c r="W7" i="136"/>
  <c r="AA7" i="136"/>
  <c r="AG7" i="136"/>
  <c r="AG5" i="136"/>
  <c r="AA5" i="136"/>
  <c r="W5" i="136"/>
  <c r="S5" i="136"/>
  <c r="O5" i="136"/>
  <c r="K5" i="136"/>
  <c r="AG8" i="136"/>
  <c r="AA8" i="136"/>
  <c r="W8" i="136"/>
  <c r="X8" i="136" s="1"/>
  <c r="S8" i="136"/>
  <c r="O8" i="136"/>
  <c r="K8" i="136"/>
  <c r="AG6" i="136"/>
  <c r="AA6" i="136"/>
  <c r="W6" i="136"/>
  <c r="S6" i="136"/>
  <c r="T2" i="136" s="1"/>
  <c r="O6" i="136"/>
  <c r="K6" i="136"/>
  <c r="AG4" i="136"/>
  <c r="AA4" i="136"/>
  <c r="W4" i="136"/>
  <c r="S4" i="136"/>
  <c r="O4" i="136"/>
  <c r="K4" i="136"/>
  <c r="K2" i="96"/>
  <c r="O2" i="96"/>
  <c r="S2" i="96"/>
  <c r="W2" i="96"/>
  <c r="AA2" i="96"/>
  <c r="AG2" i="96"/>
  <c r="AA5" i="96"/>
  <c r="AA3" i="96"/>
  <c r="AA4" i="96"/>
  <c r="AG4" i="96"/>
  <c r="W4" i="96"/>
  <c r="S4" i="96"/>
  <c r="O4" i="96"/>
  <c r="K4" i="96"/>
  <c r="AG3" i="96"/>
  <c r="W3" i="96"/>
  <c r="S3" i="96"/>
  <c r="O3" i="96"/>
  <c r="K3" i="96"/>
  <c r="AG5" i="96"/>
  <c r="W5" i="96"/>
  <c r="X5" i="96" s="1"/>
  <c r="S5" i="96"/>
  <c r="O5" i="96"/>
  <c r="P5" i="96" s="1"/>
  <c r="K5" i="96"/>
  <c r="AI2" i="155" l="1"/>
  <c r="AI4" i="155"/>
  <c r="AI2" i="154"/>
  <c r="AC3" i="139"/>
  <c r="AF3" i="139" s="1"/>
  <c r="AH3" i="139" s="1"/>
  <c r="AI3" i="139" s="1"/>
  <c r="AI3" i="154"/>
  <c r="AI4" i="154"/>
  <c r="T2" i="137"/>
  <c r="P2" i="137"/>
  <c r="P6" i="137"/>
  <c r="T7" i="137"/>
  <c r="P3" i="137"/>
  <c r="AB5" i="142"/>
  <c r="AC5" i="142"/>
  <c r="AF5" i="142" s="1"/>
  <c r="AH5" i="142" s="1"/>
  <c r="X2" i="142"/>
  <c r="AC3" i="138"/>
  <c r="AF3" i="138" s="1"/>
  <c r="AH3" i="138" s="1"/>
  <c r="AB3" i="136"/>
  <c r="AC3" i="136"/>
  <c r="AF3" i="136" s="1"/>
  <c r="AH3" i="136" s="1"/>
  <c r="AI4" i="143"/>
  <c r="AF2" i="156"/>
  <c r="AH2" i="156" s="1"/>
  <c r="AI2" i="156" s="1"/>
  <c r="AF3" i="156"/>
  <c r="AH3" i="156" s="1"/>
  <c r="AI3" i="156" s="1"/>
  <c r="AI2" i="147"/>
  <c r="AI3" i="146"/>
  <c r="AI5" i="146"/>
  <c r="AI7" i="145"/>
  <c r="AI2" i="145"/>
  <c r="AI8" i="145"/>
  <c r="AI3" i="145"/>
  <c r="AI6" i="145"/>
  <c r="AI5" i="145"/>
  <c r="AI4" i="145"/>
  <c r="AI2" i="143"/>
  <c r="AI3" i="143"/>
  <c r="T5" i="142"/>
  <c r="X4" i="142"/>
  <c r="T6" i="142"/>
  <c r="P3" i="142"/>
  <c r="X3" i="142"/>
  <c r="P6" i="142"/>
  <c r="X6" i="142"/>
  <c r="AB4" i="142"/>
  <c r="T3" i="142"/>
  <c r="AC6" i="142"/>
  <c r="AF6" i="142" s="1"/>
  <c r="AH6" i="142" s="1"/>
  <c r="AC3" i="142"/>
  <c r="AF3" i="142" s="1"/>
  <c r="AH3" i="142" s="1"/>
  <c r="L2" i="142"/>
  <c r="P4" i="142"/>
  <c r="L4" i="142"/>
  <c r="AC2" i="142"/>
  <c r="AF2" i="142" s="1"/>
  <c r="AH2" i="142" s="1"/>
  <c r="AB2" i="142"/>
  <c r="AB3" i="142"/>
  <c r="L3" i="142"/>
  <c r="AC4" i="142"/>
  <c r="AF4" i="142" s="1"/>
  <c r="AH4" i="142" s="1"/>
  <c r="AI3" i="141"/>
  <c r="T3" i="141"/>
  <c r="AC2" i="141"/>
  <c r="AF2" i="141" s="1"/>
  <c r="AH2" i="141" s="1"/>
  <c r="AI2" i="141" s="1"/>
  <c r="AC2" i="140"/>
  <c r="AF2" i="140" s="1"/>
  <c r="AH2" i="140" s="1"/>
  <c r="AI2" i="140" s="1"/>
  <c r="L2" i="140"/>
  <c r="AC4" i="139"/>
  <c r="AF4" i="139" s="1"/>
  <c r="AH4" i="139" s="1"/>
  <c r="AI4" i="139" s="1"/>
  <c r="T3" i="139"/>
  <c r="AC2" i="139"/>
  <c r="AF2" i="139" s="1"/>
  <c r="AH2" i="139" s="1"/>
  <c r="AI2" i="139" s="1"/>
  <c r="P4" i="139"/>
  <c r="X4" i="139"/>
  <c r="AB4" i="139"/>
  <c r="L4" i="139"/>
  <c r="L3" i="138"/>
  <c r="P2" i="138"/>
  <c r="AC2" i="138"/>
  <c r="AF2" i="138" s="1"/>
  <c r="AH2" i="138" s="1"/>
  <c r="T2" i="138"/>
  <c r="P3" i="138"/>
  <c r="X2" i="137"/>
  <c r="AC6" i="137"/>
  <c r="AF6" i="137" s="1"/>
  <c r="AH6" i="137" s="1"/>
  <c r="AB4" i="137"/>
  <c r="L7" i="137"/>
  <c r="L5" i="137"/>
  <c r="L3" i="137"/>
  <c r="AC7" i="137"/>
  <c r="AF7" i="137" s="1"/>
  <c r="AH7" i="137" s="1"/>
  <c r="AC5" i="137"/>
  <c r="AF5" i="137" s="1"/>
  <c r="AH5" i="137" s="1"/>
  <c r="T6" i="137"/>
  <c r="T5" i="137"/>
  <c r="X6" i="137"/>
  <c r="T3" i="137"/>
  <c r="X5" i="137"/>
  <c r="AB6" i="137"/>
  <c r="T4" i="137"/>
  <c r="X3" i="137"/>
  <c r="X7" i="137"/>
  <c r="AB5" i="137"/>
  <c r="L4" i="137"/>
  <c r="AC3" i="137"/>
  <c r="AF3" i="137" s="1"/>
  <c r="AH3" i="137" s="1"/>
  <c r="P7" i="137"/>
  <c r="AC4" i="137"/>
  <c r="AF4" i="137" s="1"/>
  <c r="AH4" i="137" s="1"/>
  <c r="P5" i="137"/>
  <c r="AC2" i="137"/>
  <c r="AF2" i="137" s="1"/>
  <c r="AH2" i="137" s="1"/>
  <c r="L6" i="137"/>
  <c r="T3" i="136"/>
  <c r="AC4" i="136"/>
  <c r="AF4" i="136" s="1"/>
  <c r="AH4" i="136" s="1"/>
  <c r="AB8" i="136"/>
  <c r="P2" i="136"/>
  <c r="T4" i="136"/>
  <c r="X5" i="136"/>
  <c r="X4" i="136"/>
  <c r="P5" i="136"/>
  <c r="AC2" i="136"/>
  <c r="AF2" i="136" s="1"/>
  <c r="AH2" i="136" s="1"/>
  <c r="P4" i="136"/>
  <c r="AB6" i="136"/>
  <c r="X7" i="136"/>
  <c r="AC7" i="136"/>
  <c r="AF7" i="136" s="1"/>
  <c r="AH7" i="136" s="1"/>
  <c r="L6" i="136"/>
  <c r="AB4" i="136"/>
  <c r="AC5" i="136"/>
  <c r="AF5" i="136" s="1"/>
  <c r="AH5" i="136" s="1"/>
  <c r="T7" i="136"/>
  <c r="T5" i="136"/>
  <c r="P7" i="136"/>
  <c r="L8" i="136"/>
  <c r="P6" i="136"/>
  <c r="AC8" i="136"/>
  <c r="AF8" i="136" s="1"/>
  <c r="AH8" i="136" s="1"/>
  <c r="T8" i="136"/>
  <c r="AB7" i="136"/>
  <c r="T6" i="136"/>
  <c r="X6" i="136"/>
  <c r="AB5" i="136"/>
  <c r="L5" i="136"/>
  <c r="AC6" i="136"/>
  <c r="AF6" i="136" s="1"/>
  <c r="AH6" i="136" s="1"/>
  <c r="P8" i="136"/>
  <c r="L4" i="136"/>
  <c r="L2" i="96"/>
  <c r="T2" i="96"/>
  <c r="P4" i="96"/>
  <c r="AB5" i="96"/>
  <c r="L4" i="96"/>
  <c r="T4" i="96"/>
  <c r="AC2" i="96"/>
  <c r="AF2" i="96" s="1"/>
  <c r="AH2" i="96" s="1"/>
  <c r="T5" i="96"/>
  <c r="P3" i="96"/>
  <c r="T3" i="96"/>
  <c r="P2" i="96"/>
  <c r="X2" i="96"/>
  <c r="X3" i="96"/>
  <c r="AB4" i="96"/>
  <c r="AB2" i="96"/>
  <c r="AC5" i="96"/>
  <c r="AF5" i="96" s="1"/>
  <c r="AH5" i="96" s="1"/>
  <c r="AC3" i="96"/>
  <c r="AF3" i="96" s="1"/>
  <c r="AH3" i="96" s="1"/>
  <c r="X4" i="96"/>
  <c r="AB3" i="96"/>
  <c r="AC4" i="96"/>
  <c r="AF4" i="96" s="1"/>
  <c r="AH4" i="96" s="1"/>
  <c r="L5" i="96"/>
  <c r="L3" i="96"/>
  <c r="AI4" i="142" l="1"/>
  <c r="AI7" i="137"/>
  <c r="AI5" i="136"/>
  <c r="AI4" i="136"/>
  <c r="AI3" i="136"/>
  <c r="AI5" i="142"/>
  <c r="AI6" i="142"/>
  <c r="AI2" i="142"/>
  <c r="AI3" i="142"/>
  <c r="AI2" i="138"/>
  <c r="AI3" i="138"/>
  <c r="AI4" i="137"/>
  <c r="AI5" i="137"/>
  <c r="AI3" i="137"/>
  <c r="AI2" i="137"/>
  <c r="AI6" i="137"/>
  <c r="AI2" i="136"/>
  <c r="AI8" i="136"/>
  <c r="AI7" i="136"/>
  <c r="AI6" i="136"/>
  <c r="AI2" i="96"/>
  <c r="AI4" i="96"/>
  <c r="AI3" i="96"/>
  <c r="AI5" i="9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48F13F2-F874-46B0-9687-3D9AC325828A}" keepAlive="1" name="Query - Query ALL" description="Connection to the 'Query ALL' query in the workbook." type="5" refreshedVersion="8" background="1" saveData="1">
    <dbPr connection="Provider=Microsoft.Mashup.OleDb.1;Data Source=$Workbook$;Location=&quot;Query ALL&quot;;Extended Properties=&quot;&quot;" command="SELECT * FROM [Query ALL]"/>
  </connection>
</connections>
</file>

<file path=xl/sharedStrings.xml><?xml version="1.0" encoding="utf-8"?>
<sst xmlns="http://schemas.openxmlformats.org/spreadsheetml/2006/main" count="2812" uniqueCount="246">
  <si>
    <t>Lane</t>
  </si>
  <si>
    <t>Level</t>
  </si>
  <si>
    <t>Athlete</t>
  </si>
  <si>
    <t>Club</t>
  </si>
  <si>
    <t>Country</t>
  </si>
  <si>
    <t>Judge 1
Tamara Beljak</t>
  </si>
  <si>
    <t>J1 (-)</t>
  </si>
  <si>
    <t>J1 (Rank)</t>
  </si>
  <si>
    <t>Judge 2
Tihomir Bendelja</t>
  </si>
  <si>
    <t>J2 (-)</t>
  </si>
  <si>
    <t>J2 (Rank)</t>
  </si>
  <si>
    <t>J3 (-)</t>
  </si>
  <si>
    <t>J3 (Rank)</t>
  </si>
  <si>
    <t>J4 (-)</t>
  </si>
  <si>
    <t>J4 (Rank)</t>
  </si>
  <si>
    <t>Avg</t>
  </si>
  <si>
    <t>Total</t>
  </si>
  <si>
    <t>FINAL SCORE</t>
  </si>
  <si>
    <t>Rank</t>
  </si>
  <si>
    <t>Start No.</t>
  </si>
  <si>
    <t>Category</t>
  </si>
  <si>
    <t>Age
Division</t>
  </si>
  <si>
    <t>Judge 4
Bernard Barač</t>
  </si>
  <si>
    <t>CADET</t>
  </si>
  <si>
    <t>MAŽORETNA IN TWIRLING SKUPINA OBČINE PESNICA</t>
  </si>
  <si>
    <t>Slovenia</t>
  </si>
  <si>
    <t>Group</t>
  </si>
  <si>
    <t>JUNIOR</t>
  </si>
  <si>
    <t>Croatia</t>
  </si>
  <si>
    <t>SENIOR</t>
  </si>
  <si>
    <t>CHILDREN</t>
  </si>
  <si>
    <t>TWIRLING KLUB ANINIH MAŽORETK</t>
  </si>
  <si>
    <t>TWIRLING IN MAŽORETNI KLUB LUCIJA</t>
  </si>
  <si>
    <t>Solo</t>
  </si>
  <si>
    <t>Low</t>
  </si>
  <si>
    <t>High</t>
  </si>
  <si>
    <t>Final Total</t>
  </si>
  <si>
    <t>J2 TOTAL</t>
  </si>
  <si>
    <t>J3 TOTAL</t>
  </si>
  <si>
    <t>J4 TOTAL</t>
  </si>
  <si>
    <t>J1 TOTAL</t>
  </si>
  <si>
    <t>Category Type</t>
  </si>
  <si>
    <t>Judge 3
Tea Softić</t>
  </si>
  <si>
    <t>Judge 5
Barbara Novina</t>
  </si>
  <si>
    <t>J5 (-)</t>
  </si>
  <si>
    <t>J5 TOTAL</t>
  </si>
  <si>
    <t>J5 (Rank)</t>
  </si>
  <si>
    <t>Tia Perko</t>
  </si>
  <si>
    <t>Ela Kramberger</t>
  </si>
  <si>
    <t>Eva Tišler</t>
  </si>
  <si>
    <t>Name</t>
  </si>
  <si>
    <t>Row Labels</t>
  </si>
  <si>
    <t>Grand Total</t>
  </si>
  <si>
    <t>Majorette Solo</t>
  </si>
  <si>
    <t>Lili Štraus</t>
  </si>
  <si>
    <t>MAŽORETNO DRUŠTVO RUŠE</t>
  </si>
  <si>
    <t>Julija Hadner</t>
  </si>
  <si>
    <t xml:space="preserve">MAŽORETNA IN TWIRLING SKUPINA OBČINE PESNICA </t>
  </si>
  <si>
    <t>Mia Žolnir</t>
  </si>
  <si>
    <t>Amadeja Gorišek</t>
  </si>
  <si>
    <t>DRUŠTVO KAMNIŠKIH MAŽORETK VERONIKA</t>
  </si>
  <si>
    <t>Sara Radovanović</t>
  </si>
  <si>
    <t>Tiana Marija Nikl</t>
  </si>
  <si>
    <t>Žana Grajfoner</t>
  </si>
  <si>
    <t>Lina Kop</t>
  </si>
  <si>
    <t>Ema Lukman</t>
  </si>
  <si>
    <t>Nastja  Ocvirk</t>
  </si>
  <si>
    <t>MAŽORETNA SKUPINA LIBOJE</t>
  </si>
  <si>
    <t>Ana Kramberger</t>
  </si>
  <si>
    <t>Laura Kitek</t>
  </si>
  <si>
    <t>Neža Soldo</t>
  </si>
  <si>
    <t>Lara Bezjak</t>
  </si>
  <si>
    <t>Tia Hvastija</t>
  </si>
  <si>
    <t>MAŽORETNO DRUŠTVO TREBELNO</t>
  </si>
  <si>
    <t>Teja Tertinek</t>
  </si>
  <si>
    <t>Tajda Padovnik</t>
  </si>
  <si>
    <t>Lili Štraus-Mila Kavšek Monetti</t>
  </si>
  <si>
    <t>Mia Žolnir-Ajda Klun</t>
  </si>
  <si>
    <t>Tanja Krajnc-Urška Podveršnik</t>
  </si>
  <si>
    <t>Majorette Duo/Trio</t>
  </si>
  <si>
    <t>Lana Jakopiček-Teja Tertinek</t>
  </si>
  <si>
    <t>Accessories Solo</t>
  </si>
  <si>
    <t>Klara Peras</t>
  </si>
  <si>
    <t>UDRUGA MAŽORETKINJA MURSKOG SREDIŠĆA</t>
  </si>
  <si>
    <t>Tena Novak</t>
  </si>
  <si>
    <t>Zala Bedić</t>
  </si>
  <si>
    <t>Klementina Pauman</t>
  </si>
  <si>
    <t>Jaka Emeršič</t>
  </si>
  <si>
    <t>Ena Peras</t>
  </si>
  <si>
    <t>Rea Lajtman</t>
  </si>
  <si>
    <t>Iva Bašnec</t>
  </si>
  <si>
    <t>MAŽORETKINJE GORIČAN</t>
  </si>
  <si>
    <t>Tija Blatnik</t>
  </si>
  <si>
    <t>DRUŠTVO MAŽORET IN PLESALCEV RIBNICA</t>
  </si>
  <si>
    <t>Accessories Duo</t>
  </si>
  <si>
    <t>Zara Drk-Mia Jambrošić</t>
  </si>
  <si>
    <t>Ema Grabrovec-Zala Bižal</t>
  </si>
  <si>
    <t>Mirna Pavić-Petra Mrđenović</t>
  </si>
  <si>
    <t>MAŽORETKINJE GRADA VALPOVA</t>
  </si>
  <si>
    <t xml:space="preserve">Zala Prelesnik-Karin Rus </t>
  </si>
  <si>
    <t>Viktoria Slamek-Lara Munđar</t>
  </si>
  <si>
    <t>Maja Bešvir-Zoja Hadner</t>
  </si>
  <si>
    <t>Maša Šenk-Nika Šilc</t>
  </si>
  <si>
    <t>Tena Bašnec-Vivien Marđetko</t>
  </si>
  <si>
    <t>Iva Kukovec-Nika Hoblaj</t>
  </si>
  <si>
    <t>Hana Ruparčič-Sara Šilc</t>
  </si>
  <si>
    <t>Maša Andoljšek-Tinkara Benčina</t>
  </si>
  <si>
    <t>Marija Hatlek-Lana Trstenjak</t>
  </si>
  <si>
    <t>Laura Tišljarić-Iva Vugrinec</t>
  </si>
  <si>
    <t>Hana Cizel-Lucija Pavlović</t>
  </si>
  <si>
    <t>KRAPINSKE MAŽORETKINJE</t>
  </si>
  <si>
    <t>Pompon Solo</t>
  </si>
  <si>
    <t>Tija Podobnik</t>
  </si>
  <si>
    <t>Nastja Ocvirk</t>
  </si>
  <si>
    <t>Rebeka Žibret</t>
  </si>
  <si>
    <t>Pompon Duo/Trio</t>
  </si>
  <si>
    <t>Nastja Ocvirk-Laura Kitek</t>
  </si>
  <si>
    <t>Taya Brodar-Ajda Zagoričnik</t>
  </si>
  <si>
    <t>Duo</t>
  </si>
  <si>
    <t>Julija Vinkovič-Leja Železnik</t>
  </si>
  <si>
    <t>Elena Vragović-Nives Kranjčec-Hana Ela Žauhar</t>
  </si>
  <si>
    <t>Maja Slak-Alina Lamovšek</t>
  </si>
  <si>
    <t>Lara Bezjak-Lana Jakopiček-Teja Tertinek</t>
  </si>
  <si>
    <t>Monika Cerar-Neja Erce</t>
  </si>
  <si>
    <t>Nika Polšak-Pia Stermecki</t>
  </si>
  <si>
    <t>Traditional Majorette Team</t>
  </si>
  <si>
    <t>ČAKOVEČKE MAŽORETKINJE</t>
  </si>
  <si>
    <t>MINI</t>
  </si>
  <si>
    <t>KUD SELNICA, SEKCIJA SELNIČKE MAŽORETKINJE</t>
  </si>
  <si>
    <t>Traditional Majorette Group</t>
  </si>
  <si>
    <t>Modern Majorette Team</t>
  </si>
  <si>
    <t>Modern Majorette Group</t>
  </si>
  <si>
    <t>Pompon Team</t>
  </si>
  <si>
    <t>Pompon Group</t>
  </si>
  <si>
    <t>Group Mix</t>
  </si>
  <si>
    <t>Show Dance</t>
  </si>
  <si>
    <t>FLAGS</t>
  </si>
  <si>
    <t>Majorette_Solo_MajoretteSolo_Children</t>
  </si>
  <si>
    <t>Majorette_Solo_MajoretteSolo_Cadet</t>
  </si>
  <si>
    <t>F</t>
  </si>
  <si>
    <t>Vita Majster-Ana Tovilović</t>
  </si>
  <si>
    <t>Tia Hvastija-Alina Lamovšek</t>
  </si>
  <si>
    <t>Majorette_Solo_MajoretteSolo_Junior</t>
  </si>
  <si>
    <t>Majorette_Solo_MajoretteSolo_Senior</t>
  </si>
  <si>
    <t>Majorette_Solo_AccessoriesSolo_Children</t>
  </si>
  <si>
    <t>Majorette_Solo_AccessoriesSolo_Cadet</t>
  </si>
  <si>
    <t>Majorette_Solo_AccessoriesSolo_Junior</t>
  </si>
  <si>
    <t>Majorette_Solo_PomponSolo_Children</t>
  </si>
  <si>
    <t>Majorette_Solo_PomponSolo_Cadet</t>
  </si>
  <si>
    <t>Majorette_Solo_PomponSolo_Junior</t>
  </si>
  <si>
    <t>Majorette_Solo_PomponSolo_Senior</t>
  </si>
  <si>
    <t>Majorette_Duo_MajoretteDuoTrio_Children</t>
  </si>
  <si>
    <t>Majorette_Duo_MajoretteDuoTrio_Junior</t>
  </si>
  <si>
    <t>Majorette_Duo_MajoretteDuoTrio_Senior</t>
  </si>
  <si>
    <t>Majorette_Duo_AccessoriesDuo_Children</t>
  </si>
  <si>
    <t>Majorette_Duo_AccessoriesDuo_Cadet</t>
  </si>
  <si>
    <t>Majorette_Duo_AccessoriesDuo_Junior</t>
  </si>
  <si>
    <t>Majorette_Duo_AccessoriesDuo_Senior</t>
  </si>
  <si>
    <t>Majorette_Duo_PomponDuoTrio_Children</t>
  </si>
  <si>
    <t>Majorette_Duo_PomponDuoTrio_Cadet</t>
  </si>
  <si>
    <t>Majorette_Duo_PomponDuoTrio_Junior</t>
  </si>
  <si>
    <t>Majorette_Duo_PomponDuoTrio_Senior</t>
  </si>
  <si>
    <t>Majorette_Group_TraditionalMajoretteGroup_Mini</t>
  </si>
  <si>
    <t>Majorette_Group_ModernMajoretteTeam_Children</t>
  </si>
  <si>
    <t>Majorette_Group_TraditionalMajoretteGroup_Children</t>
  </si>
  <si>
    <t>Majorette_Group_TraditionalMajoretteGroup_Cadet</t>
  </si>
  <si>
    <t>Majorette_Group_ModernMajoretteTeam_Cadet</t>
  </si>
  <si>
    <t>Majorette_Group_ModernMajoretteTeam_Junior</t>
  </si>
  <si>
    <t>Majorette_Group_ModernMajoretteGroup_Cadet</t>
  </si>
  <si>
    <t>Majorette_Group_ModernMajoretteGroup_Junior</t>
  </si>
  <si>
    <t>Majorette_Group_PomponTeam_Junior</t>
  </si>
  <si>
    <t>Majorette_Group_GroupMix_Cadet</t>
  </si>
  <si>
    <t>Majorette_Group_PomponGroup_Mini</t>
  </si>
  <si>
    <t>Majorette_Group_PomponGroup_Children</t>
  </si>
  <si>
    <t>Majorette_Group_PomponGroup_Cadet</t>
  </si>
  <si>
    <t>Majorette_Group_PomponGroup_Junior</t>
  </si>
  <si>
    <t>Majorette_Group_ShowDance_Mini</t>
  </si>
  <si>
    <t>Majorette_Group_ShowDance_Children</t>
  </si>
  <si>
    <t>Majorette_Group_ShowDance_Cadet</t>
  </si>
  <si>
    <t>Majorette_Group_ShowDance_Junior</t>
  </si>
  <si>
    <t>Majorette_Group_ShowDance_Senior</t>
  </si>
  <si>
    <t>Majorette_Group_Flags_Open</t>
  </si>
  <si>
    <t>CONSOLIDATED</t>
  </si>
  <si>
    <t>Majorette Solo CHILDREN - DRUŠTVO KAMNIŠKIH MAŽORETK VERONIKA Slovenia: Amadeja Gorišek</t>
  </si>
  <si>
    <t>Majorette Solo CHILDREN - MAŽORETNA IN TWIRLING SKUPINA OBČINE PESNICA  Slovenia: Julija Hadner</t>
  </si>
  <si>
    <t>Majorette Solo CHILDREN - MAŽORETNA IN TWIRLING SKUPINA OBČINE PESNICA Slovenia: Mia Žolnir</t>
  </si>
  <si>
    <t>Majorette Solo CHILDREN - MAŽORETNO DRUŠTVO RUŠE Slovenia: Lili Štraus</t>
  </si>
  <si>
    <t>Majorette Solo CADET - MAŽORETNA SKUPINA LIBOJE Slovenia: Nastja  Ocvirk</t>
  </si>
  <si>
    <t>Majorette Solo CADET - TWIRLING KLUB ANINIH MAŽORETK Slovenia: Ana Kramberger</t>
  </si>
  <si>
    <t>Majorette Solo CADET - TWIRLING KLUB ANINIH MAŽORETK Slovenia: Sara Radovanović</t>
  </si>
  <si>
    <t>Majorette Solo CADET - TWIRLING KLUB ANINIH MAŽORETK Slovenia: Lina Kop</t>
  </si>
  <si>
    <t>Majorette Solo CADET - TWIRLING KLUB ANINIH MAŽORETK Slovenia: Tiana Marija Nikl</t>
  </si>
  <si>
    <t>Majorette Solo CADET - MAŽORETNA IN TWIRLING SKUPINA OBČINE PESNICA Slovenia: Ema Lukman</t>
  </si>
  <si>
    <t>Majorette Solo CADET - MAŽORETNA IN TWIRLING SKUPINA OBČINE PESNICA Slovenia: Žana Grajfoner</t>
  </si>
  <si>
    <t>Majorette Solo JUNIOR - MAŽORETNA SKUPINA LIBOJE Slovenia: Laura Kitek</t>
  </si>
  <si>
    <t>Majorette Solo JUNIOR - MAŽORETNO DRUŠTVO RUŠE Slovenia: Lara Bezjak</t>
  </si>
  <si>
    <t>Majorette Solo JUNIOR - DRUŠTVO KAMNIŠKIH MAŽORETK VERONIKA Slovenia: Neža Soldo</t>
  </si>
  <si>
    <t>Majorette Solo JUNIOR - TWIRLING KLUB ANINIH MAŽORETK Slovenia: Tia Perko</t>
  </si>
  <si>
    <t>Majorette Solo JUNIOR - TWIRLING KLUB ANINIH MAŽORETK Slovenia: Ela Kramberger</t>
  </si>
  <si>
    <t>Majorette Solo JUNIOR - MAŽORETNO DRUŠTVO TREBELNO Slovenia: Tia Hvastija</t>
  </si>
  <si>
    <t>Majorette Solo SENIOR - TWIRLING KLUB ANINIH MAŽORETK Slovenia: Tajda Padovnik</t>
  </si>
  <si>
    <t>Majorette Solo SENIOR - MAŽORETNO DRUŠTVO RUŠE Slovenia: Teja Tertinek</t>
  </si>
  <si>
    <t>Accessories Solo CHILDREN - UDRUGA MAŽORETKINJA MURSKOG SREDIŠĆA Croatia: Klara Peras</t>
  </si>
  <si>
    <t>Accessories Solo CHILDREN - UDRUGA MAŽORETKINJA MURSKOG SREDIŠĆA Croatia: Tena Novak</t>
  </si>
  <si>
    <t>Accessories Solo CADET - MAŽORETNA IN TWIRLING SKUPINA OBČINE PESNICA Slovenia: Jaka Emeršič</t>
  </si>
  <si>
    <t>Accessories Solo CADET - MAŽORETNA IN TWIRLING SKUPINA OBČINE PESNICA Slovenia: Klementina Pauman</t>
  </si>
  <si>
    <t>Accessories Solo CADET - UDRUGA MAŽORETKINJA MURSKOG SREDIŠĆA Croatia: Zala Bedić</t>
  </si>
  <si>
    <t>Accessories Solo CADET - UDRUGA MAŽORETKINJA MURSKOG SREDIŠĆA Croatia: Rea Lajtman</t>
  </si>
  <si>
    <t>Accessories Solo CADET - UDRUGA MAŽORETKINJA MURSKOG SREDIŠĆA Croatia: Ena Peras</t>
  </si>
  <si>
    <t>Accessories Solo JUNIOR - MAŽORETKINJE GORIČAN Croatia: Iva Bašnec</t>
  </si>
  <si>
    <t>Accessories Solo JUNIOR - DRUŠTVO MAŽORET IN PLESALCEV RIBNICA Slovenia: Tija Blatnik</t>
  </si>
  <si>
    <t>Accessories Solo JUNIOR - MAŽORETNA IN TWIRLING SKUPINA OBČINE PESNICA Slovenia: Eva Tišler</t>
  </si>
  <si>
    <t>Pompon Solo CHILDREN - MAŽORETNA SKUPINA LIBOJE Slovenia: Tija Podobnik</t>
  </si>
  <si>
    <t>Pompon Solo CADET - MAŽORETNA SKUPINA LIBOJE Slovenia: Nastja Ocvirk</t>
  </si>
  <si>
    <t>Pompon Solo JUNIOR - MAŽORETNA SKUPINA LIBOJE Slovenia: Laura Kitek</t>
  </si>
  <si>
    <t>Pompon Solo SENIOR - MAŽORETNO DRUŠTVO RUŠE Slovenia: Rebeka Žibret</t>
  </si>
  <si>
    <t>Majorette Duo/Trio CHILDREN - MAŽORETNO DRUŠTVO RUŠE Slovenia: Lili Štraus-Mila Kavšek Monetti</t>
  </si>
  <si>
    <t>Majorette Duo/Trio CHILDREN - MAŽORETNA IN TWIRLING SKUPINA OBČINE PESNICA Slovenia: Tanja Krajnc-Urška Podveršnik</t>
  </si>
  <si>
    <t>Majorette Duo/Trio CHILDREN - MAŽORETNA IN TWIRLING SKUPINA OBČINE PESNICA Slovenia: Mia Žolnir-Ajda Klun</t>
  </si>
  <si>
    <t>Majorette Duo/Trio JUNIOR - MAŽORETNO DRUŠTVO RUŠE Slovenia: Vita Majster-Ana Tovilović</t>
  </si>
  <si>
    <t>Majorette Duo/Trio JUNIOR - MAŽORETNO DRUŠTVO TREBELNO Slovenia: Tia Hvastija-Alina Lamovšek</t>
  </si>
  <si>
    <t>Majorette Duo/Trio SENIOR - MAŽORETNO DRUŠTVO RUŠE Slovenia: Lana Jakopiček-Teja Tertinek</t>
  </si>
  <si>
    <t>Accessories Duo CHILDREN - DRUŠTVO MAŽORET IN PLESALCEV RIBNICA Slovenia: Ema Grabrovec-Zala Bižal</t>
  </si>
  <si>
    <t>Accessories Duo CHILDREN - UDRUGA MAŽORETKINJA MURSKOG SREDIŠĆA Croatia: Zara Drk-Mia Jambrošić</t>
  </si>
  <si>
    <t>Accessories Duo CADET - MAŽORETKINJE GORIČAN Croatia: Tena Bašnec-Vivien Marđetko</t>
  </si>
  <si>
    <t>Accessories Duo CADET - DRUŠTVO MAŽORET IN PLESALCEV RIBNICA Slovenia: Maša Šenk-Nika Šilc</t>
  </si>
  <si>
    <t xml:space="preserve">Accessories Duo CADET - DRUŠTVO MAŽORET IN PLESALCEV RIBNICA Slovenia: Zala Prelesnik-Karin Rus </t>
  </si>
  <si>
    <t>Accessories Duo CADET - UDRUGA MAŽORETKINJA MURSKOG SREDIŠĆA Croatia: Viktoria Slamek-Lara Munđar</t>
  </si>
  <si>
    <t>Accessories Duo CADET - MAŽORETNA IN TWIRLING SKUPINA OBČINE PESNICA Slovenia: Maja Bešvir-Zoja Hadner</t>
  </si>
  <si>
    <t>Accessories Duo CADET - UDRUGA MAŽORETKINJA MURSKOG SREDIŠĆA Croatia: Iva Kukovec-Nika Hoblaj</t>
  </si>
  <si>
    <t>Accessories Duo CADET - MAŽORETKINJE GRADA VALPOVA Croatia: Mirna Pavić-Petra Mrđenović</t>
  </si>
  <si>
    <t>Accessories Duo JUNIOR - DRUŠTVO MAŽORET IN PLESALCEV RIBNICA Slovenia: Maša Andoljšek-Tinkara Benčina</t>
  </si>
  <si>
    <t>Accessories Duo JUNIOR - MAŽORETKINJE GORIČAN Croatia: Laura Tišljarić-Iva Vugrinec</t>
  </si>
  <si>
    <t>Accessories Duo JUNIOR - DRUŠTVO MAŽORET IN PLESALCEV RIBNICA Slovenia: Hana Ruparčič-Sara Šilc</t>
  </si>
  <si>
    <t>Accessories Duo JUNIOR - UDRUGA MAŽORETKINJA MURSKOG SREDIŠĆA Croatia: Marija Hatlek-Lana Trstenjak</t>
  </si>
  <si>
    <t>Accessories Duo SENIOR - KRAPINSKE MAŽORETKINJE Croatia: Hana Cizel-Lucija Pavlović</t>
  </si>
  <si>
    <t>Pompon Duo/Trio CHILDREN - MAŽORETNA SKUPINA LIBOJE Slovenia: Taya Brodar-Ajda Zagoričnik</t>
  </si>
  <si>
    <t>Pompon Duo/Trio CADET - MAŽORETNA SKUPINA LIBOJE Slovenia: Nastja Ocvirk-Laura Kitek</t>
  </si>
  <si>
    <t>Pompon Duo/Trio JUNIOR - KRAPINSKE MAŽORETKINJE Croatia: Elena Vragović-Nives Kranjčec-Hana Ela Žauhar</t>
  </si>
  <si>
    <t>Pompon Duo/Trio JUNIOR - DRUŠTVO KAMNIŠKIH MAŽORETK VERONIKA Slovenia: Julija Vinkovič-Leja Železnik</t>
  </si>
  <si>
    <t>Pompon Duo/Trio JUNIOR - MAŽORETNO DRUŠTVO TREBELNO Slovenia: Maja Slak-Alina Lamovšek</t>
  </si>
  <si>
    <t>Pompon Duo/Trio SENIOR - MAŽORETNA SKUPINA LIBOJE Slovenia: Nika Polšak-Pia Stermecki</t>
  </si>
  <si>
    <t>Pompon Duo/Trio SENIOR - DRUŠTVO KAMNIŠKIH MAŽORETK VERONIKA Slovenia: Monika Cerar-Neja Erce</t>
  </si>
  <si>
    <t>Pompon Duo/Trio SENIOR - MAŽORETNO DRUŠTVO RUŠE Slovenia: Lara Bezjak-Lana Jakopiček-Teja Tertinek</t>
  </si>
  <si>
    <t>(blank)</t>
  </si>
  <si>
    <t>Sum of FINAL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</si>
</sst>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rgb="FFFF0000"/>
      <name val="Georgia"/>
      <family val="1"/>
    </font>
    <font>
      <sz val="10"/>
      <color theme="1"/>
      <name val="Arial Narrow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2" fontId="0" fillId="0" borderId="0" xfId="0" applyNumberFormat="1"/>
    <xf numFmtId="0" fontId="5" fillId="0" borderId="0" xfId="0" applyFont="1" applyAlignment="1" applyProtection="1">
      <alignment horizontal="center" vertical="top" wrapText="1"/>
      <protection hidden="1"/>
    </xf>
    <xf numFmtId="0" fontId="5" fillId="0" borderId="0" xfId="1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vertical="top"/>
      <protection hidden="1"/>
    </xf>
    <xf numFmtId="0" fontId="3" fillId="4" borderId="0" xfId="0" applyFont="1" applyFill="1" applyAlignment="1" applyProtection="1">
      <alignment horizontal="center" vertical="top" wrapText="1"/>
      <protection hidden="1"/>
    </xf>
    <xf numFmtId="0" fontId="3" fillId="7" borderId="0" xfId="0" applyFont="1" applyFill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2" fontId="4" fillId="2" borderId="0" xfId="0" applyNumberFormat="1" applyFont="1" applyFill="1" applyAlignment="1" applyProtection="1">
      <alignment horizontal="center"/>
      <protection hidden="1"/>
    </xf>
    <xf numFmtId="2" fontId="4" fillId="3" borderId="0" xfId="0" applyNumberFormat="1" applyFont="1" applyFill="1" applyAlignment="1" applyProtection="1">
      <alignment horizontal="center"/>
      <protection hidden="1"/>
    </xf>
    <xf numFmtId="2" fontId="4" fillId="5" borderId="0" xfId="0" applyNumberFormat="1" applyFont="1" applyFill="1" applyAlignment="1" applyProtection="1">
      <alignment horizontal="center"/>
      <protection hidden="1"/>
    </xf>
    <xf numFmtId="1" fontId="4" fillId="6" borderId="0" xfId="0" applyNumberFormat="1" applyFont="1" applyFill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6" fillId="0" borderId="0" xfId="0" quotePrefix="1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0" fillId="0" borderId="0" xfId="0" applyNumberFormat="1"/>
    <xf numFmtId="1" fontId="0" fillId="0" borderId="0" xfId="0" applyNumberFormat="1"/>
    <xf numFmtId="4" fontId="0" fillId="0" borderId="0" xfId="0" applyNumberFormat="1"/>
  </cellXfs>
  <cellStyles count="2">
    <cellStyle name="Normal" xfId="0" builtinId="0"/>
    <cellStyle name="Normal 2" xfId="1" xr:uid="{0871037F-6758-4FA3-9407-7D8A1BBA6A8C}"/>
  </cellStyles>
  <dxfs count="1631"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E49AF8"/>
      <color rgb="FF33CCCC"/>
      <color rgb="FFCCCCFF"/>
      <color rgb="FFBF9FFF"/>
      <color rgb="FFFF9999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pivotCacheDefinition" Target="pivotCache/pivotCacheDefinition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5085.039457870371" createdVersion="8" refreshedVersion="8" minRefreshableVersion="3" recordCount="92" xr:uid="{BD8CBE90-31F4-4360-A78D-C5441F92CC6D}">
  <cacheSource type="worksheet">
    <worksheetSource name="Table_Query_ALL"/>
  </cacheSource>
  <cacheFields count="38">
    <cacheField name="Start No." numFmtId="0">
      <sharedItems containsSemiMixedTypes="0" containsString="0" containsNumber="1" containsInteger="1" minValue="1" maxValue="92"/>
    </cacheField>
    <cacheField name="Lane" numFmtId="0">
      <sharedItems containsString="0" containsBlank="1" containsNumber="1" containsInteger="1" minValue="1" maxValue="2"/>
    </cacheField>
    <cacheField name="Category" numFmtId="0">
      <sharedItems/>
    </cacheField>
    <cacheField name="Age_x000a_Division" numFmtId="0">
      <sharedItems containsBlank="1"/>
    </cacheField>
    <cacheField name="Level" numFmtId="0">
      <sharedItems containsNonDate="0" containsString="0" containsBlank="1"/>
    </cacheField>
    <cacheField name="Athlete" numFmtId="0">
      <sharedItems containsBlank="1"/>
    </cacheField>
    <cacheField name="Club" numFmtId="0">
      <sharedItems/>
    </cacheField>
    <cacheField name="Country" numFmtId="0">
      <sharedItems/>
    </cacheField>
    <cacheField name="Judge 1_x000a_Tamara Beljak" numFmtId="2">
      <sharedItems containsString="0" containsBlank="1" containsNumber="1" minValue="10" maxValue="92"/>
    </cacheField>
    <cacheField name="J1 (-)" numFmtId="2">
      <sharedItems containsString="0" containsBlank="1" containsNumber="1" minValue="0" maxValue="10"/>
    </cacheField>
    <cacheField name="J1 TOTAL" numFmtId="2">
      <sharedItems containsSemiMixedTypes="0" containsString="0" containsNumber="1" minValue="0" maxValue="89"/>
    </cacheField>
    <cacheField name="J1 (Rank)" numFmtId="1">
      <sharedItems containsSemiMixedTypes="0" containsString="0" containsNumber="1" containsInteger="1" minValue="1" maxValue="7"/>
    </cacheField>
    <cacheField name="Judge 2_x000a_Tihomir Bendelja" numFmtId="2">
      <sharedItems containsString="0" containsBlank="1" containsNumber="1" minValue="10" maxValue="92"/>
    </cacheField>
    <cacheField name="J2 (-)" numFmtId="2">
      <sharedItems containsString="0" containsBlank="1" containsNumber="1" minValue="0" maxValue="10"/>
    </cacheField>
    <cacheField name="J2 TOTAL" numFmtId="2">
      <sharedItems containsSemiMixedTypes="0" containsString="0" containsNumber="1" minValue="0" maxValue="89.5"/>
    </cacheField>
    <cacheField name="J2 (Rank)" numFmtId="1">
      <sharedItems containsSemiMixedTypes="0" containsString="0" containsNumber="1" containsInteger="1" minValue="1" maxValue="7"/>
    </cacheField>
    <cacheField name="Judge 3_x000a_Tea Softić" numFmtId="2">
      <sharedItems containsString="0" containsBlank="1" containsNumber="1" minValue="10.6" maxValue="92.8"/>
    </cacheField>
    <cacheField name="J3 (-)" numFmtId="2">
      <sharedItems containsString="0" containsBlank="1" containsNumber="1" minValue="0" maxValue="10"/>
    </cacheField>
    <cacheField name="J3 TOTAL" numFmtId="2">
      <sharedItems containsSemiMixedTypes="0" containsString="0" containsNumber="1" minValue="0" maxValue="90.3"/>
    </cacheField>
    <cacheField name="J3 (Rank)" numFmtId="1">
      <sharedItems containsSemiMixedTypes="0" containsString="0" containsNumber="1" containsInteger="1" minValue="1" maxValue="6"/>
    </cacheField>
    <cacheField name="Judge 4_x000a_Bernard Barač" numFmtId="2">
      <sharedItems containsString="0" containsBlank="1" containsNumber="1" minValue="10.8" maxValue="88"/>
    </cacheField>
    <cacheField name="J4 (-)" numFmtId="2">
      <sharedItems containsString="0" containsBlank="1" containsNumber="1" minValue="0" maxValue="10"/>
    </cacheField>
    <cacheField name="J4 TOTAL" numFmtId="2">
      <sharedItems containsSemiMixedTypes="0" containsString="0" containsNumber="1" minValue="0" maxValue="85"/>
    </cacheField>
    <cacheField name="J4 (Rank)" numFmtId="1">
      <sharedItems containsSemiMixedTypes="0" containsString="0" containsNumber="1" containsInteger="1" minValue="1" maxValue="7"/>
    </cacheField>
    <cacheField name="Judge 5_x000a_Barbara Novina" numFmtId="2">
      <sharedItems containsString="0" containsBlank="1" containsNumber="1" minValue="8.6" maxValue="88"/>
    </cacheField>
    <cacheField name="J5 (-)" numFmtId="2">
      <sharedItems containsString="0" containsBlank="1" containsNumber="1" minValue="0" maxValue="10"/>
    </cacheField>
    <cacheField name="J5 TOTAL" numFmtId="2">
      <sharedItems containsSemiMixedTypes="0" containsString="0" containsNumber="1" minValue="0" maxValue="83"/>
    </cacheField>
    <cacheField name="J5 (Rank)" numFmtId="1">
      <sharedItems containsSemiMixedTypes="0" containsString="0" containsNumber="1" containsInteger="1" minValue="1" maxValue="7"/>
    </cacheField>
    <cacheField name="Total" numFmtId="0">
      <sharedItems containsSemiMixedTypes="0" containsString="0" containsNumber="1" minValue="12" maxValue="432.3"/>
    </cacheField>
    <cacheField name="Low" numFmtId="2">
      <sharedItems containsString="0" containsBlank="1" containsNumber="1" minValue="46" maxValue="83"/>
    </cacheField>
    <cacheField name="High" numFmtId="2">
      <sharedItems containsString="0" containsBlank="1" containsNumber="1" minValue="59" maxValue="90.3"/>
    </cacheField>
    <cacheField name="Final Total" numFmtId="2">
      <sharedItems containsSemiMixedTypes="0" containsString="0" containsNumber="1" minValue="12" maxValue="260.3"/>
    </cacheField>
    <cacheField name="Avg" numFmtId="2">
      <sharedItems containsSemiMixedTypes="0" containsString="0" containsNumber="1" minValue="10" maxValue="89.460000000000008"/>
    </cacheField>
    <cacheField name="FINAL SCORE" numFmtId="2">
      <sharedItems containsSemiMixedTypes="0" containsString="0" containsNumber="1" minValue="12" maxValue="260.3"/>
    </cacheField>
    <cacheField name="Rank" numFmtId="1">
      <sharedItems containsSemiMixedTypes="0" containsString="0" containsNumber="1" containsInteger="1" minValue="1" maxValue="7"/>
    </cacheField>
    <cacheField name="Category Type" numFmtId="0">
      <sharedItems count="3">
        <s v="Solo"/>
        <s v="Duo"/>
        <s v="Group"/>
      </sharedItems>
    </cacheField>
    <cacheField name="Name" numFmtId="0">
      <sharedItems/>
    </cacheField>
    <cacheField name="CONSOLIDATED" numFmtId="0">
      <sharedItems containsBlank="1" count="62">
        <s v="Majorette Solo CHILDREN - DRUŠTVO KAMNIŠKIH MAŽORETK VERONIKA Slovenia: Amadeja Gorišek"/>
        <s v="Majorette Solo CHILDREN - MAŽORETNA IN TWIRLING SKUPINA OBČINE PESNICA  Slovenia: Julija Hadner"/>
        <s v="Majorette Solo CHILDREN - MAŽORETNA IN TWIRLING SKUPINA OBČINE PESNICA Slovenia: Mia Žolnir"/>
        <s v="Majorette Solo CHILDREN - MAŽORETNO DRUŠTVO RUŠE Slovenia: Lili Štraus"/>
        <s v="Majorette Solo CADET - MAŽORETNA SKUPINA LIBOJE Slovenia: Nastja  Ocvirk"/>
        <s v="Majorette Solo CADET - TWIRLING KLUB ANINIH MAŽORETK Slovenia: Ana Kramberger"/>
        <s v="Majorette Solo CADET - TWIRLING KLUB ANINIH MAŽORETK Slovenia: Sara Radovanović"/>
        <s v="Majorette Solo CADET - TWIRLING KLUB ANINIH MAŽORETK Slovenia: Lina Kop"/>
        <s v="Majorette Solo CADET - TWIRLING KLUB ANINIH MAŽORETK Slovenia: Tiana Marija Nikl"/>
        <s v="Majorette Solo CADET - MAŽORETNA IN TWIRLING SKUPINA OBČINE PESNICA Slovenia: Ema Lukman"/>
        <s v="Majorette Solo CADET - MAŽORETNA IN TWIRLING SKUPINA OBČINE PESNICA Slovenia: Žana Grajfoner"/>
        <s v="Majorette Solo JUNIOR - MAŽORETNA SKUPINA LIBOJE Slovenia: Laura Kitek"/>
        <s v="Majorette Solo JUNIOR - MAŽORETNO DRUŠTVO RUŠE Slovenia: Lara Bezjak"/>
        <s v="Majorette Solo JUNIOR - DRUŠTVO KAMNIŠKIH MAŽORETK VERONIKA Slovenia: Neža Soldo"/>
        <s v="Majorette Solo JUNIOR - TWIRLING KLUB ANINIH MAŽORETK Slovenia: Tia Perko"/>
        <s v="Majorette Solo JUNIOR - TWIRLING KLUB ANINIH MAŽORETK Slovenia: Ela Kramberger"/>
        <s v="Majorette Solo JUNIOR - MAŽORETNO DRUŠTVO TREBELNO Slovenia: Tia Hvastija"/>
        <s v="Majorette Solo SENIOR - TWIRLING KLUB ANINIH MAŽORETK Slovenia: Tajda Padovnik"/>
        <s v="Majorette Solo SENIOR - MAŽORETNO DRUŠTVO RUŠE Slovenia: Teja Tertinek"/>
        <s v="Accessories Solo CHILDREN - UDRUGA MAŽORETKINJA MURSKOG SREDIŠĆA Croatia: Klara Peras"/>
        <s v="Accessories Solo CHILDREN - UDRUGA MAŽORETKINJA MURSKOG SREDIŠĆA Croatia: Tena Novak"/>
        <s v="Accessories Solo CADET - MAŽORETNA IN TWIRLING SKUPINA OBČINE PESNICA Slovenia: Jaka Emeršič"/>
        <s v="Accessories Solo CADET - MAŽORETNA IN TWIRLING SKUPINA OBČINE PESNICA Slovenia: Klementina Pauman"/>
        <s v="Accessories Solo CADET - UDRUGA MAŽORETKINJA MURSKOG SREDIŠĆA Croatia: Zala Bedić"/>
        <s v="Accessories Solo CADET - UDRUGA MAŽORETKINJA MURSKOG SREDIŠĆA Croatia: Rea Lajtman"/>
        <s v="Accessories Solo CADET - UDRUGA MAŽORETKINJA MURSKOG SREDIŠĆA Croatia: Ena Peras"/>
        <s v="Accessories Solo JUNIOR - MAŽORETKINJE GORIČAN Croatia: Iva Bašnec"/>
        <s v="Accessories Solo JUNIOR - DRUŠTVO MAŽORET IN PLESALCEV RIBNICA Slovenia: Tija Blatnik"/>
        <s v="Accessories Solo JUNIOR - MAŽORETNA IN TWIRLING SKUPINA OBČINE PESNICA Slovenia: Eva Tišler"/>
        <s v="Pompon Solo CHILDREN - MAŽORETNA SKUPINA LIBOJE Slovenia: Tija Podobnik"/>
        <s v="Pompon Solo CADET - MAŽORETNA SKUPINA LIBOJE Slovenia: Nastja Ocvirk"/>
        <s v="Pompon Solo JUNIOR - MAŽORETNA SKUPINA LIBOJE Slovenia: Laura Kitek"/>
        <s v="Pompon Solo SENIOR - MAŽORETNO DRUŠTVO RUŠE Slovenia: Rebeka Žibret"/>
        <s v="Majorette Duo/Trio CHILDREN - MAŽORETNO DRUŠTVO RUŠE Slovenia: Lili Štraus-Mila Kavšek Monetti"/>
        <s v="Majorette Duo/Trio CHILDREN - MAŽORETNA IN TWIRLING SKUPINA OBČINE PESNICA Slovenia: Tanja Krajnc-Urška Podveršnik"/>
        <s v="Majorette Duo/Trio CHILDREN - MAŽORETNA IN TWIRLING SKUPINA OBČINE PESNICA Slovenia: Mia Žolnir-Ajda Klun"/>
        <s v="Majorette Duo/Trio JUNIOR - MAŽORETNO DRUŠTVO RUŠE Slovenia: Vita Majster-Ana Tovilović"/>
        <s v="Majorette Duo/Trio JUNIOR - MAŽORETNO DRUŠTVO TREBELNO Slovenia: Tia Hvastija-Alina Lamovšek"/>
        <s v="Majorette Duo/Trio SENIOR - MAŽORETNO DRUŠTVO RUŠE Slovenia: Lana Jakopiček-Teja Tertinek"/>
        <s v="Accessories Duo CHILDREN - DRUŠTVO MAŽORET IN PLESALCEV RIBNICA Slovenia: Ema Grabrovec-Zala Bižal"/>
        <s v="Accessories Duo CHILDREN - UDRUGA MAŽORETKINJA MURSKOG SREDIŠĆA Croatia: Zara Drk-Mia Jambrošić"/>
        <s v="Accessories Duo CADET - MAŽORETKINJE GORIČAN Croatia: Tena Bašnec-Vivien Marđetko"/>
        <s v="Accessories Duo CADET - DRUŠTVO MAŽORET IN PLESALCEV RIBNICA Slovenia: Maša Šenk-Nika Šilc"/>
        <s v="Accessories Duo CADET - DRUŠTVO MAŽORET IN PLESALCEV RIBNICA Slovenia: Zala Prelesnik-Karin Rus "/>
        <s v="Accessories Duo CADET - UDRUGA MAŽORETKINJA MURSKOG SREDIŠĆA Croatia: Viktoria Slamek-Lara Munđar"/>
        <s v="Accessories Duo CADET - MAŽORETNA IN TWIRLING SKUPINA OBČINE PESNICA Slovenia: Maja Bešvir-Zoja Hadner"/>
        <s v="Accessories Duo CADET - UDRUGA MAŽORETKINJA MURSKOG SREDIŠĆA Croatia: Iva Kukovec-Nika Hoblaj"/>
        <s v="Accessories Duo CADET - MAŽORETKINJE GRADA VALPOVA Croatia: Mirna Pavić-Petra Mrđenović"/>
        <s v="Accessories Duo JUNIOR - DRUŠTVO MAŽORET IN PLESALCEV RIBNICA Slovenia: Maša Andoljšek-Tinkara Benčina"/>
        <s v="Accessories Duo JUNIOR - MAŽORETKINJE GORIČAN Croatia: Laura Tišljarić-Iva Vugrinec"/>
        <s v="Accessories Duo JUNIOR - DRUŠTVO MAŽORET IN PLESALCEV RIBNICA Slovenia: Hana Ruparčič-Sara Šilc"/>
        <s v="Accessories Duo JUNIOR - UDRUGA MAŽORETKINJA MURSKOG SREDIŠĆA Croatia: Marija Hatlek-Lana Trstenjak"/>
        <s v="Accessories Duo SENIOR - KRAPINSKE MAŽORETKINJE Croatia: Hana Cizel-Lucija Pavlović"/>
        <s v="Pompon Duo/Trio CHILDREN - MAŽORETNA SKUPINA LIBOJE Slovenia: Taya Brodar-Ajda Zagoričnik"/>
        <s v="Pompon Duo/Trio CADET - MAŽORETNA SKUPINA LIBOJE Slovenia: Nastja Ocvirk-Laura Kitek"/>
        <s v="Pompon Duo/Trio JUNIOR - KRAPINSKE MAŽORETKINJE Croatia: Elena Vragović-Nives Kranjčec-Hana Ela Žauhar"/>
        <s v="Pompon Duo/Trio JUNIOR - DRUŠTVO KAMNIŠKIH MAŽORETK VERONIKA Slovenia: Julija Vinkovič-Leja Železnik"/>
        <s v="Pompon Duo/Trio JUNIOR - MAŽORETNO DRUŠTVO TREBELNO Slovenia: Maja Slak-Alina Lamovšek"/>
        <s v="Pompon Duo/Trio SENIOR - MAŽORETNA SKUPINA LIBOJE Slovenia: Nika Polšak-Pia Stermecki"/>
        <s v="Pompon Duo/Trio SENIOR - DRUŠTVO KAMNIŠKIH MAŽORETK VERONIKA Slovenia: Monika Cerar-Neja Erce"/>
        <s v="Pompon Duo/Trio SENIOR - MAŽORETNO DRUŠTVO RUŠE Slovenia: Lara Bezjak-Lana Jakopiček-Teja Tertinek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">
  <r>
    <n v="34"/>
    <n v="1"/>
    <s v="Majorette Solo"/>
    <s v="CHILDREN"/>
    <m/>
    <s v="Amadeja Gorišek"/>
    <s v="DRUŠTVO KAMNIŠKIH MAŽORETK VERONIKA"/>
    <s v="Slovenia"/>
    <n v="20.7"/>
    <n v="0"/>
    <n v="20.7"/>
    <n v="1"/>
    <m/>
    <m/>
    <n v="0"/>
    <n v="1"/>
    <n v="15.6"/>
    <n v="0"/>
    <n v="15.6"/>
    <n v="1"/>
    <m/>
    <m/>
    <n v="0"/>
    <n v="1"/>
    <m/>
    <m/>
    <n v="0"/>
    <n v="1"/>
    <n v="36.299999999999997"/>
    <m/>
    <m/>
    <n v="36.299999999999997"/>
    <n v="18.149999999999999"/>
    <n v="36.299999999999997"/>
    <n v="1"/>
    <x v="0"/>
    <s v="Majorette_Solo_MajoretteSolo_Children"/>
    <x v="0"/>
  </r>
  <r>
    <n v="30"/>
    <n v="1"/>
    <s v="Majorette Solo"/>
    <s v="CHILDREN"/>
    <m/>
    <s v="Julija Hadner"/>
    <s v="MAŽORETNA IN TWIRLING SKUPINA OBČINE PESNICA "/>
    <s v="Slovenia"/>
    <n v="18.5"/>
    <n v="0"/>
    <n v="18.5"/>
    <n v="2"/>
    <m/>
    <m/>
    <n v="0"/>
    <n v="1"/>
    <n v="13.5"/>
    <n v="0"/>
    <n v="13.5"/>
    <n v="2"/>
    <m/>
    <m/>
    <n v="0"/>
    <n v="1"/>
    <m/>
    <m/>
    <n v="0"/>
    <n v="1"/>
    <n v="32"/>
    <m/>
    <m/>
    <n v="32"/>
    <n v="16"/>
    <n v="32"/>
    <n v="2"/>
    <x v="0"/>
    <s v="Majorette_Solo_MajoretteSolo_Children"/>
    <x v="1"/>
  </r>
  <r>
    <n v="32"/>
    <n v="1"/>
    <s v="Majorette Solo"/>
    <s v="CHILDREN"/>
    <m/>
    <s v="Mia Žolnir"/>
    <s v="MAŽORETNA IN TWIRLING SKUPINA OBČINE PESNICA"/>
    <s v="Slovenia"/>
    <n v="13.6"/>
    <n v="0.5"/>
    <n v="13.1"/>
    <n v="3"/>
    <m/>
    <m/>
    <n v="0"/>
    <n v="1"/>
    <n v="12.3"/>
    <n v="0.5"/>
    <n v="11.8"/>
    <n v="3"/>
    <m/>
    <m/>
    <n v="0"/>
    <n v="1"/>
    <m/>
    <m/>
    <n v="0"/>
    <n v="1"/>
    <n v="24.9"/>
    <m/>
    <m/>
    <n v="24.9"/>
    <n v="12.95"/>
    <n v="24.9"/>
    <n v="3"/>
    <x v="0"/>
    <s v="Majorette_Solo_MajoretteSolo_Children"/>
    <x v="2"/>
  </r>
  <r>
    <n v="28"/>
    <n v="1"/>
    <s v="Majorette Solo"/>
    <s v="CHILDREN"/>
    <m/>
    <s v="Lili Štraus"/>
    <s v="MAŽORETNO DRUŠTVO RUŠE"/>
    <s v="Slovenia"/>
    <n v="11.3"/>
    <n v="1.5"/>
    <n v="9.8000000000000007"/>
    <n v="4"/>
    <m/>
    <m/>
    <n v="0"/>
    <n v="1"/>
    <n v="12.1"/>
    <n v="1.5"/>
    <n v="10.6"/>
    <n v="4"/>
    <m/>
    <m/>
    <n v="0"/>
    <n v="1"/>
    <m/>
    <m/>
    <n v="0"/>
    <n v="1"/>
    <n v="20.399999999999999"/>
    <m/>
    <m/>
    <n v="20.399999999999999"/>
    <n v="11.7"/>
    <n v="20.399999999999999"/>
    <n v="4"/>
    <x v="0"/>
    <s v="Majorette_Solo_MajoretteSolo_Children"/>
    <x v="3"/>
  </r>
  <r>
    <n v="29"/>
    <n v="2"/>
    <s v="Majorette Solo"/>
    <s v="CADET"/>
    <m/>
    <s v="Nastja  Ocvirk"/>
    <s v="MAŽORETNA SKUPINA LIBOJE"/>
    <s v="Slovenia"/>
    <m/>
    <m/>
    <n v="0"/>
    <n v="1"/>
    <n v="20.3"/>
    <n v="1.5"/>
    <n v="18.8"/>
    <n v="1"/>
    <m/>
    <m/>
    <n v="0"/>
    <n v="1"/>
    <n v="14.4"/>
    <n v="1.5"/>
    <n v="12.9"/>
    <n v="3"/>
    <n v="14.4"/>
    <n v="1.5"/>
    <n v="12.9"/>
    <n v="1"/>
    <n v="44.6"/>
    <m/>
    <m/>
    <n v="44.6"/>
    <n v="16.366666666666667"/>
    <n v="44.6"/>
    <n v="1"/>
    <x v="0"/>
    <s v="Majorette_Solo_MajoretteSolo_Cadet"/>
    <x v="4"/>
  </r>
  <r>
    <n v="31"/>
    <n v="2"/>
    <s v="Majorette Solo"/>
    <s v="CADET"/>
    <m/>
    <s v="Ana Kramberger"/>
    <s v="TWIRLING KLUB ANINIH MAŽORETK"/>
    <s v="Slovenia"/>
    <m/>
    <m/>
    <n v="0"/>
    <n v="1"/>
    <n v="18.7"/>
    <n v="0"/>
    <n v="18.7"/>
    <n v="2"/>
    <m/>
    <m/>
    <n v="0"/>
    <n v="1"/>
    <n v="13.8"/>
    <n v="0"/>
    <n v="13.8"/>
    <n v="2"/>
    <n v="11.65"/>
    <n v="0"/>
    <n v="11.65"/>
    <n v="5"/>
    <n v="44.15"/>
    <m/>
    <m/>
    <n v="44.15"/>
    <n v="14.716666666666667"/>
    <n v="44.15"/>
    <n v="2"/>
    <x v="0"/>
    <s v="Majorette_Solo_MajoretteSolo_Cadet"/>
    <x v="5"/>
  </r>
  <r>
    <n v="19"/>
    <n v="2"/>
    <s v="Majorette Solo"/>
    <s v="CADET"/>
    <m/>
    <s v="Sara Radovanović"/>
    <s v="TWIRLING KLUB ANINIH MAŽORETK"/>
    <s v="Slovenia"/>
    <m/>
    <m/>
    <n v="0"/>
    <n v="1"/>
    <n v="18.399999999999999"/>
    <n v="0.5"/>
    <n v="17.899999999999999"/>
    <n v="3"/>
    <m/>
    <m/>
    <n v="0"/>
    <n v="1"/>
    <n v="13.2"/>
    <n v="0.5"/>
    <n v="12.7"/>
    <n v="4"/>
    <n v="12.8"/>
    <n v="0.5"/>
    <n v="12.3"/>
    <n v="2"/>
    <n v="42.9"/>
    <m/>
    <m/>
    <n v="42.9"/>
    <n v="14.799999999999999"/>
    <n v="42.9"/>
    <n v="3"/>
    <x v="0"/>
    <s v="Majorette_Solo_MajoretteSolo_Cadet"/>
    <x v="6"/>
  </r>
  <r>
    <n v="25"/>
    <n v="2"/>
    <s v="Majorette Solo"/>
    <s v="CADET"/>
    <m/>
    <s v="Lina Kop"/>
    <s v="TWIRLING KLUB ANINIH MAŽORETK"/>
    <s v="Slovenia"/>
    <m/>
    <m/>
    <n v="0"/>
    <n v="1"/>
    <n v="17"/>
    <n v="0.5"/>
    <n v="16.5"/>
    <n v="6"/>
    <m/>
    <m/>
    <n v="0"/>
    <n v="1"/>
    <n v="14.4"/>
    <n v="0.5"/>
    <n v="13.9"/>
    <n v="1"/>
    <n v="12.7"/>
    <n v="0.5"/>
    <n v="12.2"/>
    <n v="3"/>
    <n v="42.599999999999994"/>
    <m/>
    <m/>
    <n v="42.599999999999994"/>
    <n v="14.699999999999998"/>
    <n v="42.599999999999994"/>
    <n v="4"/>
    <x v="0"/>
    <s v="Majorette_Solo_MajoretteSolo_Cadet"/>
    <x v="7"/>
  </r>
  <r>
    <n v="21"/>
    <n v="2"/>
    <s v="Majorette Solo"/>
    <s v="CADET"/>
    <m/>
    <s v="Tiana Marija Nikl"/>
    <s v="TWIRLING KLUB ANINIH MAŽORETK"/>
    <s v="Slovenia"/>
    <m/>
    <m/>
    <n v="0"/>
    <n v="1"/>
    <n v="17.2"/>
    <n v="0.5"/>
    <n v="16.7"/>
    <n v="4"/>
    <m/>
    <m/>
    <n v="0"/>
    <n v="1"/>
    <n v="13.1"/>
    <n v="0.5"/>
    <n v="12.6"/>
    <n v="5"/>
    <n v="12.4"/>
    <n v="0.5"/>
    <n v="11.9"/>
    <n v="4"/>
    <n v="41.199999999999996"/>
    <m/>
    <m/>
    <n v="41.199999999999996"/>
    <n v="14.233333333333333"/>
    <n v="41.199999999999996"/>
    <n v="5"/>
    <x v="0"/>
    <s v="Majorette_Solo_MajoretteSolo_Cadet"/>
    <x v="8"/>
  </r>
  <r>
    <n v="27"/>
    <n v="2"/>
    <s v="Majorette Solo"/>
    <s v="CADET"/>
    <m/>
    <s v="Ema Lukman"/>
    <s v="MAŽORETNA IN TWIRLING SKUPINA OBČINE PESNICA"/>
    <s v="Slovenia"/>
    <m/>
    <m/>
    <n v="0"/>
    <n v="1"/>
    <n v="17.100000000000001"/>
    <n v="0.5"/>
    <n v="16.600000000000001"/>
    <n v="5"/>
    <m/>
    <m/>
    <n v="0"/>
    <n v="1"/>
    <n v="12.6"/>
    <n v="0.5"/>
    <n v="12.1"/>
    <n v="6"/>
    <n v="10.5"/>
    <n v="0.5"/>
    <n v="10"/>
    <n v="6"/>
    <n v="38.700000000000003"/>
    <m/>
    <m/>
    <n v="38.700000000000003"/>
    <n v="13.4"/>
    <n v="38.700000000000003"/>
    <n v="6"/>
    <x v="0"/>
    <s v="Majorette_Solo_MajoretteSolo_Cadet"/>
    <x v="9"/>
  </r>
  <r>
    <n v="23"/>
    <n v="2"/>
    <s v="Majorette Solo"/>
    <s v="CADET"/>
    <m/>
    <s v="Žana Grajfoner"/>
    <s v="MAŽORETNA IN TWIRLING SKUPINA OBČINE PESNICA"/>
    <s v="Slovenia"/>
    <m/>
    <m/>
    <n v="0"/>
    <n v="1"/>
    <n v="13.9"/>
    <n v="1.5"/>
    <n v="12.4"/>
    <n v="7"/>
    <m/>
    <m/>
    <n v="0"/>
    <n v="1"/>
    <n v="10.8"/>
    <n v="1.5"/>
    <n v="9.3000000000000007"/>
    <n v="7"/>
    <n v="8.6"/>
    <n v="1.5"/>
    <n v="7.1"/>
    <n v="7"/>
    <n v="28.800000000000004"/>
    <m/>
    <m/>
    <n v="28.800000000000004"/>
    <n v="11.100000000000001"/>
    <n v="28.800000000000004"/>
    <n v="7"/>
    <x v="0"/>
    <s v="Majorette_Solo_MajoretteSolo_Cadet"/>
    <x v="10"/>
  </r>
  <r>
    <n v="36"/>
    <n v="1"/>
    <s v="Majorette Solo"/>
    <s v="JUNIOR"/>
    <m/>
    <s v="Laura Kitek"/>
    <s v="MAŽORETNA SKUPINA LIBOJE"/>
    <s v="Slovenia"/>
    <n v="33.4"/>
    <n v="0.5"/>
    <n v="32.9"/>
    <n v="1"/>
    <m/>
    <m/>
    <n v="0"/>
    <n v="1"/>
    <n v="35.200000000000003"/>
    <n v="0.5"/>
    <n v="34.700000000000003"/>
    <n v="1"/>
    <m/>
    <m/>
    <n v="0"/>
    <n v="1"/>
    <m/>
    <m/>
    <n v="0"/>
    <n v="1"/>
    <n v="67.599999999999994"/>
    <m/>
    <m/>
    <n v="67.599999999999994"/>
    <n v="34.299999999999997"/>
    <n v="67.599999999999994"/>
    <n v="1"/>
    <x v="0"/>
    <s v="Majorette_Solo_MajoretteSolo_Junior"/>
    <x v="11"/>
  </r>
  <r>
    <n v="40"/>
    <n v="1"/>
    <s v="Majorette Solo"/>
    <s v="JUNIOR"/>
    <m/>
    <s v="Lara Bezjak"/>
    <s v="MAŽORETNO DRUŠTVO RUŠE"/>
    <s v="Slovenia"/>
    <n v="32.4"/>
    <n v="0"/>
    <n v="32.4"/>
    <n v="2"/>
    <m/>
    <m/>
    <n v="0"/>
    <n v="1"/>
    <n v="33.700000000000003"/>
    <n v="0"/>
    <n v="33.700000000000003"/>
    <n v="2"/>
    <m/>
    <m/>
    <n v="0"/>
    <n v="1"/>
    <m/>
    <m/>
    <n v="0"/>
    <n v="1"/>
    <n v="66.099999999999994"/>
    <m/>
    <m/>
    <n v="66.099999999999994"/>
    <n v="33.049999999999997"/>
    <n v="66.099999999999994"/>
    <n v="2"/>
    <x v="0"/>
    <s v="Majorette_Solo_MajoretteSolo_Junior"/>
    <x v="12"/>
  </r>
  <r>
    <n v="38"/>
    <n v="1"/>
    <s v="Majorette Solo"/>
    <s v="JUNIOR"/>
    <m/>
    <s v="Neža Soldo"/>
    <s v="DRUŠTVO KAMNIŠKIH MAŽORETK VERONIKA"/>
    <s v="Slovenia"/>
    <n v="32"/>
    <n v="0"/>
    <n v="32"/>
    <n v="3"/>
    <m/>
    <m/>
    <n v="0"/>
    <n v="1"/>
    <n v="33.6"/>
    <n v="0"/>
    <n v="33.6"/>
    <n v="3"/>
    <m/>
    <m/>
    <n v="0"/>
    <n v="1"/>
    <m/>
    <m/>
    <n v="0"/>
    <n v="1"/>
    <n v="65.599999999999994"/>
    <m/>
    <m/>
    <n v="65.599999999999994"/>
    <n v="32.799999999999997"/>
    <n v="65.599999999999994"/>
    <n v="3"/>
    <x v="0"/>
    <s v="Majorette_Solo_MajoretteSolo_Junior"/>
    <x v="13"/>
  </r>
  <r>
    <n v="44"/>
    <n v="1"/>
    <s v="Majorette Solo"/>
    <s v="JUNIOR"/>
    <m/>
    <s v="Tia Perko"/>
    <s v="TWIRLING KLUB ANINIH MAŽORETK"/>
    <s v="Slovenia"/>
    <n v="22"/>
    <n v="1.5"/>
    <n v="20.5"/>
    <n v="4"/>
    <m/>
    <m/>
    <n v="0"/>
    <n v="1"/>
    <n v="35.1"/>
    <n v="1.5"/>
    <n v="33.6"/>
    <n v="3"/>
    <m/>
    <m/>
    <n v="0"/>
    <n v="1"/>
    <m/>
    <m/>
    <n v="0"/>
    <n v="1"/>
    <n v="54.1"/>
    <m/>
    <m/>
    <n v="54.1"/>
    <n v="28.55"/>
    <n v="54.1"/>
    <n v="4"/>
    <x v="0"/>
    <s v="Majorette_Solo_MajoretteSolo_Junior"/>
    <x v="14"/>
  </r>
  <r>
    <n v="46"/>
    <n v="1"/>
    <s v="Majorette Solo"/>
    <s v="JUNIOR"/>
    <m/>
    <s v="Ela Kramberger"/>
    <s v="TWIRLING KLUB ANINIH MAŽORETK"/>
    <s v="Slovenia"/>
    <n v="21.9"/>
    <n v="1.5"/>
    <n v="20.399999999999999"/>
    <n v="5"/>
    <m/>
    <m/>
    <n v="0"/>
    <n v="1"/>
    <n v="27.6"/>
    <n v="1.5"/>
    <n v="26.1"/>
    <n v="5"/>
    <m/>
    <m/>
    <n v="0"/>
    <n v="1"/>
    <m/>
    <m/>
    <n v="0"/>
    <n v="1"/>
    <n v="46.5"/>
    <m/>
    <m/>
    <n v="46.5"/>
    <n v="24.75"/>
    <n v="46.5"/>
    <n v="5"/>
    <x v="0"/>
    <s v="Majorette_Solo_MajoretteSolo_Junior"/>
    <x v="15"/>
  </r>
  <r>
    <n v="42"/>
    <n v="1"/>
    <s v="Majorette Solo"/>
    <s v="JUNIOR"/>
    <m/>
    <s v="Tia Hvastija"/>
    <s v="MAŽORETNO DRUŠTVO TREBELNO"/>
    <s v="Slovenia"/>
    <n v="19"/>
    <n v="2.5"/>
    <n v="16.5"/>
    <n v="6"/>
    <m/>
    <m/>
    <n v="0"/>
    <n v="1"/>
    <n v="20"/>
    <n v="2.5"/>
    <n v="17.5"/>
    <n v="6"/>
    <m/>
    <m/>
    <n v="0"/>
    <n v="1"/>
    <m/>
    <m/>
    <n v="0"/>
    <n v="1"/>
    <n v="34"/>
    <m/>
    <m/>
    <n v="34"/>
    <n v="19.5"/>
    <n v="34"/>
    <n v="6"/>
    <x v="0"/>
    <s v="Majorette_Solo_MajoretteSolo_Junior"/>
    <x v="16"/>
  </r>
  <r>
    <n v="35"/>
    <n v="2"/>
    <s v="Majorette Solo"/>
    <s v="SENIOR"/>
    <m/>
    <s v="Tajda Padovnik"/>
    <s v="TWIRLING KLUB ANINIH MAŽORETK"/>
    <s v="Slovenia"/>
    <m/>
    <m/>
    <n v="0"/>
    <n v="1"/>
    <n v="24.2"/>
    <n v="0"/>
    <n v="24.2"/>
    <n v="1"/>
    <m/>
    <m/>
    <n v="0"/>
    <n v="1"/>
    <n v="19.899999999999999"/>
    <n v="0"/>
    <n v="19.899999999999999"/>
    <n v="1"/>
    <n v="15.8"/>
    <n v="0"/>
    <n v="15.8"/>
    <n v="1"/>
    <n v="59.899999999999991"/>
    <m/>
    <m/>
    <n v="59.899999999999991"/>
    <n v="19.966666666666665"/>
    <n v="59.899999999999991"/>
    <n v="1"/>
    <x v="0"/>
    <s v="Majorette_Solo_MajoretteSolo_Senior"/>
    <x v="17"/>
  </r>
  <r>
    <n v="33"/>
    <n v="2"/>
    <s v="Majorette Solo"/>
    <s v="SENIOR"/>
    <m/>
    <s v="Teja Tertinek"/>
    <s v="MAŽORETNO DRUŠTVO RUŠE"/>
    <s v="Slovenia"/>
    <m/>
    <m/>
    <n v="0"/>
    <n v="1"/>
    <n v="16.7"/>
    <n v="0.5"/>
    <n v="16.2"/>
    <n v="2"/>
    <m/>
    <m/>
    <n v="0"/>
    <n v="1"/>
    <n v="19.100000000000001"/>
    <n v="0.5"/>
    <n v="18.600000000000001"/>
    <n v="2"/>
    <n v="16.2"/>
    <n v="0.5"/>
    <n v="15.7"/>
    <n v="2"/>
    <n v="50.5"/>
    <m/>
    <m/>
    <n v="50.5"/>
    <n v="17.333333333333332"/>
    <n v="50.5"/>
    <n v="2"/>
    <x v="0"/>
    <s v="Majorette_Solo_MajoretteSolo_Senior"/>
    <x v="18"/>
  </r>
  <r>
    <n v="18"/>
    <n v="1"/>
    <s v="Accessories Solo"/>
    <s v="CHILDREN"/>
    <m/>
    <s v="Klara Peras"/>
    <s v="UDRUGA MAŽORETKINJA MURSKOG SREDIŠĆA"/>
    <s v="Croatia"/>
    <n v="23"/>
    <n v="1"/>
    <n v="22"/>
    <n v="1"/>
    <m/>
    <m/>
    <n v="0"/>
    <n v="1"/>
    <n v="24.1"/>
    <n v="1"/>
    <n v="23.1"/>
    <n v="1"/>
    <m/>
    <m/>
    <n v="0"/>
    <n v="1"/>
    <m/>
    <m/>
    <n v="0"/>
    <n v="1"/>
    <n v="45.1"/>
    <m/>
    <m/>
    <n v="45.1"/>
    <n v="23.55"/>
    <n v="45.1"/>
    <n v="1"/>
    <x v="0"/>
    <s v="Majorette_Solo_AccessoriesSolo_Children"/>
    <x v="19"/>
  </r>
  <r>
    <n v="20"/>
    <n v="1"/>
    <s v="Accessories Solo"/>
    <s v="CHILDREN"/>
    <m/>
    <s v="Tena Novak"/>
    <s v="UDRUGA MAŽORETKINJA MURSKOG SREDIŠĆA"/>
    <s v="Croatia"/>
    <n v="21"/>
    <n v="1"/>
    <n v="20"/>
    <n v="2"/>
    <m/>
    <m/>
    <n v="0"/>
    <n v="1"/>
    <n v="23.9"/>
    <n v="1"/>
    <n v="22.9"/>
    <n v="2"/>
    <m/>
    <m/>
    <n v="0"/>
    <n v="1"/>
    <m/>
    <m/>
    <n v="0"/>
    <n v="1"/>
    <n v="42.9"/>
    <m/>
    <m/>
    <n v="42.9"/>
    <n v="22.45"/>
    <n v="42.9"/>
    <n v="2"/>
    <x v="0"/>
    <s v="Majorette_Solo_AccessoriesSolo_Children"/>
    <x v="20"/>
  </r>
  <r>
    <n v="41"/>
    <n v="2"/>
    <s v="Accessories Solo"/>
    <s v="CADET"/>
    <m/>
    <s v="Jaka Emeršič"/>
    <s v="MAŽORETNA IN TWIRLING SKUPINA OBČINE PESNICA"/>
    <s v="Slovenia"/>
    <m/>
    <m/>
    <n v="0"/>
    <n v="1"/>
    <n v="23.8"/>
    <n v="1"/>
    <n v="22.8"/>
    <n v="1"/>
    <m/>
    <m/>
    <n v="0"/>
    <n v="1"/>
    <n v="19.7"/>
    <n v="1"/>
    <n v="18.7"/>
    <n v="1"/>
    <n v="20.2"/>
    <n v="1"/>
    <n v="19.2"/>
    <n v="1"/>
    <n v="60.7"/>
    <m/>
    <m/>
    <n v="60.7"/>
    <n v="21.233333333333334"/>
    <n v="60.7"/>
    <n v="1"/>
    <x v="0"/>
    <s v="Majorette_Solo_AccessoriesSolo_Cadet"/>
    <x v="21"/>
  </r>
  <r>
    <n v="39"/>
    <n v="2"/>
    <s v="Accessories Solo"/>
    <s v="CADET"/>
    <m/>
    <s v="Klementina Pauman"/>
    <s v="MAŽORETNA IN TWIRLING SKUPINA OBČINE PESNICA"/>
    <s v="Slovenia"/>
    <m/>
    <m/>
    <n v="0"/>
    <n v="1"/>
    <n v="22.1"/>
    <n v="0.5"/>
    <n v="21.6"/>
    <n v="2"/>
    <m/>
    <m/>
    <n v="0"/>
    <n v="1"/>
    <n v="18.5"/>
    <n v="0.5"/>
    <n v="18"/>
    <n v="2"/>
    <n v="18.5"/>
    <n v="0.5"/>
    <n v="18"/>
    <n v="2"/>
    <n v="57.6"/>
    <m/>
    <m/>
    <n v="57.6"/>
    <n v="19.7"/>
    <n v="57.6"/>
    <n v="2"/>
    <x v="0"/>
    <s v="Majorette_Solo_AccessoriesSolo_Cadet"/>
    <x v="22"/>
  </r>
  <r>
    <n v="37"/>
    <n v="2"/>
    <s v="Accessories Solo"/>
    <s v="CADET"/>
    <m/>
    <s v="Zala Bedić"/>
    <s v="UDRUGA MAŽORETKINJA MURSKOG SREDIŠĆA"/>
    <s v="Croatia"/>
    <m/>
    <m/>
    <n v="0"/>
    <n v="1"/>
    <n v="21.8"/>
    <n v="2"/>
    <n v="19.8"/>
    <n v="3"/>
    <m/>
    <m/>
    <n v="0"/>
    <n v="1"/>
    <n v="19.600000000000001"/>
    <n v="2"/>
    <n v="17.600000000000001"/>
    <n v="3"/>
    <n v="18.5"/>
    <n v="2"/>
    <n v="16.5"/>
    <n v="3"/>
    <n v="53.900000000000006"/>
    <m/>
    <m/>
    <n v="53.900000000000006"/>
    <n v="19.966666666666669"/>
    <n v="53.900000000000006"/>
    <n v="3"/>
    <x v="0"/>
    <s v="Majorette_Solo_AccessoriesSolo_Cadet"/>
    <x v="23"/>
  </r>
  <r>
    <n v="45"/>
    <n v="2"/>
    <s v="Accessories Solo"/>
    <s v="CADET"/>
    <m/>
    <s v="Rea Lajtman"/>
    <s v="UDRUGA MAŽORETKINJA MURSKOG SREDIŠĆA"/>
    <s v="Croatia"/>
    <m/>
    <m/>
    <n v="0"/>
    <n v="1"/>
    <n v="14.7"/>
    <n v="1"/>
    <n v="13.7"/>
    <n v="4"/>
    <m/>
    <m/>
    <n v="0"/>
    <n v="1"/>
    <n v="18.3"/>
    <n v="1"/>
    <n v="17.3"/>
    <n v="4"/>
    <n v="15.7"/>
    <n v="1"/>
    <n v="14.7"/>
    <n v="4"/>
    <n v="45.7"/>
    <m/>
    <m/>
    <n v="45.7"/>
    <n v="16.233333333333334"/>
    <n v="45.7"/>
    <n v="4"/>
    <x v="0"/>
    <s v="Majorette_Solo_AccessoriesSolo_Cadet"/>
    <x v="24"/>
  </r>
  <r>
    <n v="43"/>
    <n v="2"/>
    <s v="Accessories Solo"/>
    <s v="CADET"/>
    <m/>
    <s v="Ena Peras"/>
    <s v="UDRUGA MAŽORETKINJA MURSKOG SREDIŠĆA"/>
    <s v="Croatia"/>
    <m/>
    <m/>
    <n v="0"/>
    <n v="1"/>
    <n v="11.9"/>
    <n v="0.5"/>
    <n v="11.4"/>
    <n v="5"/>
    <m/>
    <m/>
    <n v="0"/>
    <n v="1"/>
    <n v="14.6"/>
    <n v="0.5"/>
    <n v="14.1"/>
    <n v="5"/>
    <n v="11.3"/>
    <n v="0.5"/>
    <n v="10.8"/>
    <n v="5"/>
    <n v="36.299999999999997"/>
    <m/>
    <m/>
    <n v="36.299999999999997"/>
    <n v="12.6"/>
    <n v="36.299999999999997"/>
    <n v="5"/>
    <x v="0"/>
    <s v="Majorette_Solo_AccessoriesSolo_Cadet"/>
    <x v="25"/>
  </r>
  <r>
    <n v="22"/>
    <n v="1"/>
    <s v="Accessories Solo"/>
    <s v="JUNIOR"/>
    <m/>
    <s v="Iva Bašnec"/>
    <s v="MAŽORETKINJE GORIČAN"/>
    <s v="Croatia"/>
    <n v="36.299999999999997"/>
    <n v="0"/>
    <n v="36.299999999999997"/>
    <n v="1"/>
    <m/>
    <m/>
    <n v="0"/>
    <n v="1"/>
    <n v="38.1"/>
    <n v="0"/>
    <n v="38.1"/>
    <n v="1"/>
    <m/>
    <m/>
    <n v="0"/>
    <n v="1"/>
    <m/>
    <m/>
    <n v="0"/>
    <n v="1"/>
    <n v="74.400000000000006"/>
    <m/>
    <m/>
    <n v="74.400000000000006"/>
    <n v="37.200000000000003"/>
    <n v="74.400000000000006"/>
    <n v="1"/>
    <x v="0"/>
    <s v="Majorette_Solo_AccessoriesSolo_Junior"/>
    <x v="26"/>
  </r>
  <r>
    <n v="24"/>
    <n v="1"/>
    <s v="Accessories Solo"/>
    <s v="JUNIOR"/>
    <m/>
    <s v="Tija Blatnik"/>
    <s v="DRUŠTVO MAŽORET IN PLESALCEV RIBNICA"/>
    <s v="Slovenia"/>
    <n v="32.799999999999997"/>
    <n v="1"/>
    <n v="31.799999999999997"/>
    <n v="2"/>
    <m/>
    <m/>
    <n v="0"/>
    <n v="1"/>
    <n v="37.6"/>
    <n v="1"/>
    <n v="36.6"/>
    <n v="2"/>
    <m/>
    <m/>
    <n v="0"/>
    <n v="1"/>
    <m/>
    <m/>
    <n v="0"/>
    <n v="1"/>
    <n v="68.400000000000006"/>
    <m/>
    <m/>
    <n v="68.400000000000006"/>
    <n v="35.200000000000003"/>
    <n v="68.400000000000006"/>
    <n v="2"/>
    <x v="0"/>
    <s v="Majorette_Solo_AccessoriesSolo_Junior"/>
    <x v="27"/>
  </r>
  <r>
    <n v="26"/>
    <n v="1"/>
    <s v="Accessories Solo"/>
    <s v="JUNIOR"/>
    <m/>
    <s v="Eva Tišler"/>
    <s v="MAŽORETNA IN TWIRLING SKUPINA OBČINE PESNICA"/>
    <s v="Slovenia"/>
    <n v="22"/>
    <n v="0.5"/>
    <n v="21.5"/>
    <n v="3"/>
    <m/>
    <m/>
    <n v="0"/>
    <n v="1"/>
    <n v="25"/>
    <n v="0.5"/>
    <n v="24.5"/>
    <n v="3"/>
    <m/>
    <m/>
    <n v="0"/>
    <n v="1"/>
    <m/>
    <m/>
    <n v="0"/>
    <n v="1"/>
    <n v="46"/>
    <m/>
    <m/>
    <n v="46"/>
    <n v="23.5"/>
    <n v="46"/>
    <n v="3"/>
    <x v="0"/>
    <s v="Majorette_Solo_AccessoriesSolo_Junior"/>
    <x v="28"/>
  </r>
  <r>
    <n v="48"/>
    <n v="1"/>
    <s v="Pompon Solo"/>
    <s v="CHILDREN"/>
    <m/>
    <s v="Tija Podobnik"/>
    <s v="MAŽORETNA SKUPINA LIBOJE"/>
    <s v="Slovenia"/>
    <n v="14.1"/>
    <n v="0.5"/>
    <n v="13.6"/>
    <n v="1"/>
    <m/>
    <m/>
    <n v="0"/>
    <n v="1"/>
    <n v="10.6"/>
    <n v="0"/>
    <n v="10.6"/>
    <n v="1"/>
    <m/>
    <m/>
    <n v="0"/>
    <n v="1"/>
    <m/>
    <m/>
    <n v="0"/>
    <n v="1"/>
    <n v="24.2"/>
    <m/>
    <m/>
    <n v="24.2"/>
    <n v="12.35"/>
    <n v="24.2"/>
    <n v="1"/>
    <x v="0"/>
    <s v="Majorette_Solo_PomponSolo_Children"/>
    <x v="29"/>
  </r>
  <r>
    <n v="47"/>
    <n v="2"/>
    <s v="Pompon Solo"/>
    <s v="CADET"/>
    <m/>
    <s v="Nastja Ocvirk"/>
    <s v="MAŽORETNA SKUPINA LIBOJE"/>
    <s v="Slovenia"/>
    <m/>
    <m/>
    <n v="0"/>
    <n v="1"/>
    <n v="17.3"/>
    <n v="1"/>
    <n v="16.3"/>
    <n v="1"/>
    <m/>
    <m/>
    <n v="0"/>
    <n v="1"/>
    <n v="14.5"/>
    <n v="1"/>
    <n v="13.5"/>
    <n v="1"/>
    <n v="13.1"/>
    <n v="1"/>
    <n v="12.1"/>
    <n v="1"/>
    <n v="41.9"/>
    <m/>
    <m/>
    <n v="41.9"/>
    <n v="14.966666666666667"/>
    <n v="41.9"/>
    <n v="1"/>
    <x v="0"/>
    <s v="Majorette_Solo_PomponSolo_Cadet"/>
    <x v="30"/>
  </r>
  <r>
    <n v="50"/>
    <n v="1"/>
    <s v="Pompon Solo"/>
    <s v="JUNIOR"/>
    <m/>
    <s v="Laura Kitek"/>
    <s v="MAŽORETNA SKUPINA LIBOJE"/>
    <s v="Slovenia"/>
    <n v="42.2"/>
    <n v="0.5"/>
    <n v="41.7"/>
    <n v="1"/>
    <m/>
    <m/>
    <n v="0"/>
    <n v="1"/>
    <n v="44.8"/>
    <n v="0.5"/>
    <n v="44.3"/>
    <n v="1"/>
    <m/>
    <m/>
    <n v="0"/>
    <n v="1"/>
    <m/>
    <m/>
    <n v="0"/>
    <n v="1"/>
    <n v="86"/>
    <m/>
    <m/>
    <n v="86"/>
    <n v="43.5"/>
    <n v="86"/>
    <n v="1"/>
    <x v="0"/>
    <s v="Majorette_Solo_PomponSolo_Junior"/>
    <x v="31"/>
  </r>
  <r>
    <n v="49"/>
    <n v="2"/>
    <s v="Pompon Solo"/>
    <s v="SENIOR"/>
    <m/>
    <s v="Rebeka Žibret"/>
    <s v="MAŽORETNO DRUŠTVO RUŠE"/>
    <s v="Slovenia"/>
    <m/>
    <m/>
    <n v="0"/>
    <n v="1"/>
    <n v="25"/>
    <n v="0.5"/>
    <n v="24.5"/>
    <n v="1"/>
    <m/>
    <m/>
    <n v="0"/>
    <n v="1"/>
    <n v="23.7"/>
    <n v="0.5"/>
    <n v="23.2"/>
    <n v="1"/>
    <n v="22.6"/>
    <n v="0.5"/>
    <n v="22.1"/>
    <n v="1"/>
    <n v="69.800000000000011"/>
    <m/>
    <m/>
    <n v="69.800000000000011"/>
    <n v="23.766666666666669"/>
    <n v="69.800000000000011"/>
    <n v="1"/>
    <x v="0"/>
    <s v="Majorette_Solo_PomponSolo_Senior"/>
    <x v="32"/>
  </r>
  <r>
    <n v="86"/>
    <n v="1"/>
    <s v="Majorette Duo/Trio"/>
    <s v="CHILDREN"/>
    <m/>
    <s v="Lili Štraus-Mila Kavšek Monetti"/>
    <s v="MAŽORETNO DRUŠTVO RUŠE"/>
    <s v="Slovenia"/>
    <n v="13.3"/>
    <n v="0.5"/>
    <n v="12.8"/>
    <n v="1"/>
    <n v="13.8"/>
    <n v="0.5"/>
    <n v="13.3"/>
    <n v="1"/>
    <m/>
    <m/>
    <n v="0"/>
    <n v="1"/>
    <m/>
    <m/>
    <n v="0"/>
    <n v="1"/>
    <m/>
    <m/>
    <n v="0"/>
    <n v="1"/>
    <n v="26.1"/>
    <m/>
    <m/>
    <n v="26.1"/>
    <n v="13.55"/>
    <n v="26.1"/>
    <n v="1"/>
    <x v="1"/>
    <s v="Majorette_Duo_MajoretteDuoTrio_Children"/>
    <x v="33"/>
  </r>
  <r>
    <n v="90"/>
    <n v="1"/>
    <s v="Majorette Duo/Trio"/>
    <s v="CHILDREN"/>
    <m/>
    <s v="Tanja Krajnc-Urška Podveršnik"/>
    <s v="MAŽORETNA IN TWIRLING SKUPINA OBČINE PESNICA"/>
    <s v="Slovenia"/>
    <n v="12.6"/>
    <n v="1"/>
    <n v="11.6"/>
    <n v="2"/>
    <n v="12.8"/>
    <n v="1"/>
    <n v="11.8"/>
    <n v="3"/>
    <m/>
    <m/>
    <n v="0"/>
    <n v="1"/>
    <m/>
    <m/>
    <n v="0"/>
    <n v="1"/>
    <m/>
    <m/>
    <n v="0"/>
    <n v="1"/>
    <n v="23.4"/>
    <m/>
    <m/>
    <n v="23.4"/>
    <n v="12.7"/>
    <n v="23.4"/>
    <n v="2"/>
    <x v="1"/>
    <s v="Majorette_Duo_MajoretteDuoTrio_Children"/>
    <x v="34"/>
  </r>
  <r>
    <n v="88"/>
    <n v="1"/>
    <s v="Majorette Duo/Trio"/>
    <s v="CHILDREN"/>
    <m/>
    <s v="Mia Žolnir-Ajda Klun"/>
    <s v="MAŽORETNA IN TWIRLING SKUPINA OBČINE PESNICA"/>
    <s v="Slovenia"/>
    <n v="12.3"/>
    <n v="2"/>
    <n v="10.3"/>
    <n v="3"/>
    <n v="14"/>
    <n v="2"/>
    <n v="12"/>
    <n v="2"/>
    <m/>
    <m/>
    <n v="0"/>
    <n v="1"/>
    <m/>
    <m/>
    <n v="0"/>
    <n v="1"/>
    <m/>
    <m/>
    <n v="0"/>
    <n v="1"/>
    <n v="22.3"/>
    <m/>
    <m/>
    <n v="22.3"/>
    <n v="13.15"/>
    <n v="22.3"/>
    <n v="3"/>
    <x v="1"/>
    <s v="Majorette_Duo_MajoretteDuoTrio_Children"/>
    <x v="35"/>
  </r>
  <r>
    <n v="89"/>
    <m/>
    <s v="Majorette Duo/Trio"/>
    <s v="JUNIOR"/>
    <m/>
    <s v="Vita Majster-Ana Tovilović"/>
    <s v="MAŽORETNO DRUŠTVO RUŠE"/>
    <s v="Slovenia"/>
    <m/>
    <m/>
    <n v="0"/>
    <n v="1"/>
    <m/>
    <m/>
    <n v="0"/>
    <n v="1"/>
    <n v="19.899999999999999"/>
    <n v="2.5"/>
    <n v="17.399999999999999"/>
    <n v="1"/>
    <n v="19.100000000000001"/>
    <n v="2.5"/>
    <n v="16.600000000000001"/>
    <n v="1"/>
    <n v="15.1"/>
    <n v="2.5"/>
    <n v="12.6"/>
    <n v="2"/>
    <n v="46.6"/>
    <m/>
    <m/>
    <n v="46.6"/>
    <n v="18.033333333333335"/>
    <n v="46.6"/>
    <n v="1"/>
    <x v="1"/>
    <s v="Majorette_Duo_MajoretteDuoTrio_Junior"/>
    <x v="36"/>
  </r>
  <r>
    <n v="87"/>
    <m/>
    <s v="Majorette Duo/Trio"/>
    <s v="JUNIOR"/>
    <m/>
    <s v="Tia Hvastija-Alina Lamovšek"/>
    <s v="MAŽORETNO DRUŠTVO TREBELNO"/>
    <s v="Slovenia"/>
    <m/>
    <m/>
    <n v="0"/>
    <n v="1"/>
    <m/>
    <m/>
    <n v="0"/>
    <n v="1"/>
    <n v="16.399999999999999"/>
    <n v="1.5"/>
    <n v="14.899999999999999"/>
    <n v="2"/>
    <n v="15.4"/>
    <n v="1.5"/>
    <n v="13.9"/>
    <n v="2"/>
    <n v="15.1"/>
    <n v="1.5"/>
    <n v="13.6"/>
    <n v="1"/>
    <n v="42.4"/>
    <m/>
    <m/>
    <n v="42.4"/>
    <n v="15.633333333333333"/>
    <n v="42.4"/>
    <n v="2"/>
    <x v="1"/>
    <s v="Majorette_Duo_MajoretteDuoTrio_Junior"/>
    <x v="37"/>
  </r>
  <r>
    <n v="91"/>
    <n v="2"/>
    <s v="Majorette Duo/Trio"/>
    <s v="SENIOR"/>
    <m/>
    <s v="Lana Jakopiček-Teja Tertinek"/>
    <s v="MAŽORETNO DRUŠTVO RUŠE"/>
    <s v="Slovenia"/>
    <m/>
    <m/>
    <n v="0"/>
    <n v="1"/>
    <m/>
    <m/>
    <n v="0"/>
    <n v="1"/>
    <n v="30.9"/>
    <n v="0"/>
    <n v="30.9"/>
    <n v="1"/>
    <n v="33"/>
    <n v="0"/>
    <n v="33"/>
    <n v="1"/>
    <n v="28.7"/>
    <n v="0"/>
    <n v="28.7"/>
    <n v="1"/>
    <n v="92.6"/>
    <m/>
    <m/>
    <n v="92.6"/>
    <n v="30.866666666666664"/>
    <n v="92.6"/>
    <n v="1"/>
    <x v="1"/>
    <s v="Majorette_Duo_MajoretteDuoTrio_Senior"/>
    <x v="38"/>
  </r>
  <r>
    <n v="66"/>
    <n v="2"/>
    <s v="Accessories Duo"/>
    <s v="CHILDREN"/>
    <m/>
    <s v="Ema Grabrovec-Zala Bižal"/>
    <s v="DRUŠTVO MAŽORET IN PLESALCEV RIBNICA"/>
    <s v="Slovenia"/>
    <m/>
    <m/>
    <n v="0"/>
    <n v="1"/>
    <m/>
    <m/>
    <n v="0"/>
    <n v="1"/>
    <n v="16.600000000000001"/>
    <n v="2"/>
    <n v="14.600000000000001"/>
    <n v="1"/>
    <n v="18.8"/>
    <n v="2"/>
    <n v="16.8"/>
    <n v="1"/>
    <n v="12"/>
    <n v="2"/>
    <n v="10"/>
    <n v="1"/>
    <n v="41.400000000000006"/>
    <m/>
    <m/>
    <n v="41.400000000000006"/>
    <n v="15.800000000000002"/>
    <n v="41.400000000000006"/>
    <n v="1"/>
    <x v="1"/>
    <s v="Majorette_Duo_AccessoriesDuo_Children"/>
    <x v="39"/>
  </r>
  <r>
    <n v="64"/>
    <n v="2"/>
    <s v="Accessories Duo"/>
    <s v="CHILDREN"/>
    <m/>
    <s v="Zara Drk-Mia Jambrošić"/>
    <s v="UDRUGA MAŽORETKINJA MURSKOG SREDIŠĆA"/>
    <s v="Croatia"/>
    <m/>
    <m/>
    <n v="0"/>
    <n v="1"/>
    <m/>
    <m/>
    <n v="0"/>
    <n v="1"/>
    <n v="15"/>
    <n v="0.5"/>
    <n v="14.5"/>
    <n v="2"/>
    <n v="14.5"/>
    <n v="0.5"/>
    <n v="14"/>
    <n v="2"/>
    <n v="10.9"/>
    <n v="1"/>
    <n v="9.9"/>
    <n v="2"/>
    <n v="38.4"/>
    <m/>
    <m/>
    <n v="38.4"/>
    <n v="13.466666666666667"/>
    <n v="38.4"/>
    <n v="2"/>
    <x v="1"/>
    <s v="Majorette_Duo_AccessoriesDuo_Children"/>
    <x v="40"/>
  </r>
  <r>
    <n v="73"/>
    <n v="1"/>
    <s v="Accessories Duo"/>
    <s v="CADET"/>
    <m/>
    <s v="Tena Bašnec-Vivien Marđetko"/>
    <s v="MAŽORETKINJE GORIČAN"/>
    <s v="Croatia"/>
    <n v="28.5"/>
    <n v="0.5"/>
    <n v="28"/>
    <n v="1"/>
    <n v="30.5"/>
    <n v="0.5"/>
    <n v="30"/>
    <n v="1"/>
    <m/>
    <m/>
    <n v="0"/>
    <n v="1"/>
    <m/>
    <m/>
    <n v="0"/>
    <n v="1"/>
    <m/>
    <m/>
    <n v="0"/>
    <n v="1"/>
    <n v="58"/>
    <m/>
    <m/>
    <n v="58"/>
    <n v="29.5"/>
    <n v="58"/>
    <n v="1"/>
    <x v="1"/>
    <s v="Majorette_Duo_AccessoriesDuo_Cadet"/>
    <x v="41"/>
  </r>
  <r>
    <n v="71"/>
    <n v="1"/>
    <s v="Accessories Duo"/>
    <s v="CADET"/>
    <m/>
    <s v="Maša Šenk-Nika Šilc"/>
    <s v="DRUŠTVO MAŽORET IN PLESALCEV RIBNICA"/>
    <s v="Slovenia"/>
    <n v="22.4"/>
    <n v="1"/>
    <n v="21.4"/>
    <n v="2"/>
    <n v="20.2"/>
    <n v="1"/>
    <n v="19.2"/>
    <n v="2"/>
    <m/>
    <m/>
    <n v="0"/>
    <n v="1"/>
    <m/>
    <m/>
    <n v="0"/>
    <n v="1"/>
    <m/>
    <m/>
    <n v="0"/>
    <n v="1"/>
    <n v="40.599999999999994"/>
    <m/>
    <m/>
    <n v="40.599999999999994"/>
    <n v="21.299999999999997"/>
    <n v="40.599999999999994"/>
    <n v="2"/>
    <x v="1"/>
    <s v="Majorette_Duo_AccessoriesDuo_Cadet"/>
    <x v="42"/>
  </r>
  <r>
    <n v="65"/>
    <n v="1"/>
    <s v="Accessories Duo"/>
    <s v="CADET"/>
    <m/>
    <s v="Zala Prelesnik-Karin Rus "/>
    <s v="DRUŠTVO MAŽORET IN PLESALCEV RIBNICA"/>
    <s v="Slovenia"/>
    <n v="20.8"/>
    <n v="3.5"/>
    <n v="17.3"/>
    <n v="3"/>
    <n v="19.3"/>
    <n v="3.5"/>
    <n v="15.8"/>
    <n v="3"/>
    <m/>
    <m/>
    <n v="0"/>
    <n v="1"/>
    <m/>
    <m/>
    <n v="0"/>
    <n v="1"/>
    <m/>
    <m/>
    <n v="0"/>
    <n v="1"/>
    <n v="33.1"/>
    <m/>
    <m/>
    <n v="33.1"/>
    <n v="20.05"/>
    <n v="33.1"/>
    <n v="3"/>
    <x v="1"/>
    <s v="Majorette_Duo_AccessoriesDuo_Cadet"/>
    <x v="43"/>
  </r>
  <r>
    <n v="67"/>
    <n v="1"/>
    <s v="Accessories Duo"/>
    <s v="CADET"/>
    <m/>
    <s v="Viktoria Slamek-Lara Munđar"/>
    <s v="UDRUGA MAŽORETKINJA MURSKOG SREDIŠĆA"/>
    <s v="Croatia"/>
    <n v="19.100000000000001"/>
    <n v="2"/>
    <n v="17.100000000000001"/>
    <n v="4"/>
    <n v="15.5"/>
    <n v="2"/>
    <n v="13.5"/>
    <n v="4"/>
    <m/>
    <m/>
    <n v="0"/>
    <n v="1"/>
    <m/>
    <m/>
    <n v="0"/>
    <n v="1"/>
    <m/>
    <m/>
    <n v="0"/>
    <n v="1"/>
    <n v="30.6"/>
    <m/>
    <m/>
    <n v="30.6"/>
    <n v="17.3"/>
    <n v="30.6"/>
    <n v="4"/>
    <x v="1"/>
    <s v="Majorette_Duo_AccessoriesDuo_Cadet"/>
    <x v="44"/>
  </r>
  <r>
    <n v="69"/>
    <n v="1"/>
    <s v="Accessories Duo"/>
    <s v="CADET"/>
    <m/>
    <s v="Maja Bešvir-Zoja Hadner"/>
    <s v="MAŽORETNA IN TWIRLING SKUPINA OBČINE PESNICA"/>
    <s v="Slovenia"/>
    <n v="18.8"/>
    <n v="3.5"/>
    <n v="15.3"/>
    <n v="5"/>
    <n v="16.5"/>
    <n v="3.5"/>
    <n v="13"/>
    <n v="5"/>
    <m/>
    <m/>
    <n v="0"/>
    <n v="1"/>
    <m/>
    <m/>
    <n v="0"/>
    <n v="1"/>
    <m/>
    <m/>
    <n v="0"/>
    <n v="1"/>
    <n v="28.3"/>
    <m/>
    <m/>
    <n v="28.3"/>
    <n v="17.649999999999999"/>
    <n v="28.3"/>
    <n v="5"/>
    <x v="1"/>
    <s v="Majorette_Duo_AccessoriesDuo_Cadet"/>
    <x v="45"/>
  </r>
  <r>
    <n v="75"/>
    <n v="1"/>
    <s v="Accessories Duo"/>
    <s v="CADET"/>
    <m/>
    <s v="Iva Kukovec-Nika Hoblaj"/>
    <s v="UDRUGA MAŽORETKINJA MURSKOG SREDIŠĆA"/>
    <s v="Croatia"/>
    <n v="16"/>
    <n v="2"/>
    <n v="14"/>
    <n v="6"/>
    <n v="12.5"/>
    <n v="2"/>
    <n v="10.5"/>
    <n v="6"/>
    <m/>
    <m/>
    <n v="0"/>
    <n v="1"/>
    <m/>
    <m/>
    <n v="0"/>
    <n v="1"/>
    <m/>
    <m/>
    <n v="0"/>
    <n v="1"/>
    <n v="24.5"/>
    <m/>
    <m/>
    <n v="24.5"/>
    <n v="14.25"/>
    <n v="24.5"/>
    <n v="6"/>
    <x v="1"/>
    <s v="Majorette_Duo_AccessoriesDuo_Cadet"/>
    <x v="46"/>
  </r>
  <r>
    <n v="63"/>
    <n v="1"/>
    <s v="Accessories Duo"/>
    <s v="CADET"/>
    <m/>
    <s v="Mirna Pavić-Petra Mrđenović"/>
    <s v="MAŽORETKINJE GRADA VALPOVA"/>
    <s v="Croatia"/>
    <n v="10"/>
    <n v="4"/>
    <n v="6"/>
    <n v="7"/>
    <n v="10"/>
    <n v="4"/>
    <n v="6"/>
    <n v="7"/>
    <m/>
    <m/>
    <n v="0"/>
    <n v="1"/>
    <m/>
    <m/>
    <n v="0"/>
    <n v="1"/>
    <m/>
    <m/>
    <n v="0"/>
    <n v="1"/>
    <n v="12"/>
    <m/>
    <m/>
    <n v="12"/>
    <n v="10"/>
    <n v="12"/>
    <n v="7"/>
    <x v="1"/>
    <s v="Majorette_Duo_AccessoriesDuo_Cadet"/>
    <x v="47"/>
  </r>
  <r>
    <n v="79"/>
    <n v="1"/>
    <s v="Accessories Duo"/>
    <s v="JUNIOR"/>
    <m/>
    <s v="Maša Andoljšek-Tinkara Benčina"/>
    <s v="DRUŠTVO MAŽORET IN PLESALCEV RIBNICA"/>
    <s v="Slovenia"/>
    <n v="47.1"/>
    <n v="0"/>
    <n v="47.1"/>
    <n v="1"/>
    <n v="47"/>
    <n v="0"/>
    <n v="47"/>
    <n v="1"/>
    <m/>
    <m/>
    <n v="0"/>
    <n v="1"/>
    <m/>
    <m/>
    <n v="0"/>
    <n v="1"/>
    <m/>
    <m/>
    <n v="0"/>
    <n v="1"/>
    <n v="94.1"/>
    <m/>
    <m/>
    <n v="94.1"/>
    <n v="47.05"/>
    <n v="94.1"/>
    <n v="1"/>
    <x v="1"/>
    <s v="Majorette_Duo_AccessoriesDuo_Junior"/>
    <x v="48"/>
  </r>
  <r>
    <n v="83"/>
    <n v="1"/>
    <s v="Accessories Duo"/>
    <s v="JUNIOR"/>
    <m/>
    <s v="Laura Tišljarić-Iva Vugrinec"/>
    <s v="MAŽORETKINJE GORIČAN"/>
    <s v="Croatia"/>
    <n v="43.6"/>
    <n v="1.5"/>
    <n v="42.1"/>
    <n v="2"/>
    <n v="42.4"/>
    <n v="1.5"/>
    <n v="40.9"/>
    <n v="2"/>
    <m/>
    <m/>
    <n v="0"/>
    <n v="1"/>
    <m/>
    <m/>
    <n v="0"/>
    <n v="1"/>
    <m/>
    <m/>
    <n v="0"/>
    <n v="1"/>
    <n v="83"/>
    <m/>
    <m/>
    <n v="83"/>
    <n v="43"/>
    <n v="83"/>
    <n v="2"/>
    <x v="1"/>
    <s v="Majorette_Duo_AccessoriesDuo_Junior"/>
    <x v="49"/>
  </r>
  <r>
    <n v="77"/>
    <n v="1"/>
    <s v="Accessories Duo"/>
    <s v="JUNIOR"/>
    <m/>
    <s v="Hana Ruparčič-Sara Šilc"/>
    <s v="DRUŠTVO MAŽORET IN PLESALCEV RIBNICA"/>
    <s v="Slovenia"/>
    <n v="26"/>
    <n v="0"/>
    <n v="26"/>
    <n v="3"/>
    <n v="26"/>
    <n v="0"/>
    <n v="26"/>
    <n v="3"/>
    <m/>
    <m/>
    <n v="0"/>
    <n v="1"/>
    <m/>
    <m/>
    <n v="0"/>
    <n v="1"/>
    <m/>
    <m/>
    <n v="0"/>
    <n v="1"/>
    <n v="52"/>
    <m/>
    <m/>
    <n v="52"/>
    <n v="26"/>
    <n v="52"/>
    <n v="3"/>
    <x v="1"/>
    <s v="Majorette_Duo_AccessoriesDuo_Junior"/>
    <x v="50"/>
  </r>
  <r>
    <n v="81"/>
    <n v="1"/>
    <s v="Accessories Duo"/>
    <s v="JUNIOR"/>
    <m/>
    <s v="Marija Hatlek-Lana Trstenjak"/>
    <s v="UDRUGA MAŽORETKINJA MURSKOG SREDIŠĆA"/>
    <s v="Croatia"/>
    <n v="21.9"/>
    <n v="3"/>
    <n v="18.899999999999999"/>
    <n v="4"/>
    <n v="21.5"/>
    <n v="3"/>
    <n v="18.5"/>
    <n v="4"/>
    <m/>
    <m/>
    <n v="0"/>
    <n v="1"/>
    <m/>
    <m/>
    <n v="0"/>
    <n v="1"/>
    <m/>
    <m/>
    <n v="0"/>
    <n v="1"/>
    <n v="37.4"/>
    <m/>
    <m/>
    <n v="37.4"/>
    <n v="21.7"/>
    <n v="37.4"/>
    <n v="4"/>
    <x v="1"/>
    <s v="Majorette_Duo_AccessoriesDuo_Junior"/>
    <x v="51"/>
  </r>
  <r>
    <n v="68"/>
    <n v="2"/>
    <s v="Accessories Duo"/>
    <s v="SENIOR"/>
    <m/>
    <s v="Hana Cizel-Lucija Pavlović"/>
    <s v="KRAPINSKE MAŽORETKINJE"/>
    <s v="Croatia"/>
    <m/>
    <m/>
    <n v="0"/>
    <n v="1"/>
    <m/>
    <m/>
    <n v="0"/>
    <n v="1"/>
    <n v="19.600000000000001"/>
    <n v="2"/>
    <n v="17.600000000000001"/>
    <n v="1"/>
    <n v="18.5"/>
    <n v="2"/>
    <n v="16.5"/>
    <n v="1"/>
    <n v="12.8"/>
    <n v="2"/>
    <n v="10.8"/>
    <n v="1"/>
    <n v="44.900000000000006"/>
    <m/>
    <m/>
    <n v="44.900000000000006"/>
    <n v="16.966666666666669"/>
    <n v="44.900000000000006"/>
    <n v="1"/>
    <x v="1"/>
    <s v="Majorette_Duo_AccessoriesDuo_Senior"/>
    <x v="52"/>
  </r>
  <r>
    <n v="70"/>
    <n v="2"/>
    <s v="Pompon Duo/Trio"/>
    <s v="CHILDREN"/>
    <m/>
    <s v="Taya Brodar-Ajda Zagoričnik"/>
    <s v="MAŽORETNA SKUPINA LIBOJE"/>
    <s v="Slovenia"/>
    <m/>
    <m/>
    <n v="0"/>
    <n v="1"/>
    <m/>
    <m/>
    <n v="0"/>
    <n v="1"/>
    <n v="17.5"/>
    <n v="0"/>
    <n v="17.5"/>
    <n v="1"/>
    <n v="16.2"/>
    <n v="0"/>
    <n v="16.2"/>
    <n v="1"/>
    <n v="14.2"/>
    <n v="0"/>
    <n v="14.2"/>
    <n v="1"/>
    <n v="47.900000000000006"/>
    <m/>
    <m/>
    <n v="47.900000000000006"/>
    <n v="15.966666666666669"/>
    <n v="47.900000000000006"/>
    <n v="1"/>
    <x v="1"/>
    <s v="Majorette_Duo_PomponDuoTrio_Children"/>
    <x v="53"/>
  </r>
  <r>
    <n v="72"/>
    <n v="2"/>
    <s v="Pompon Duo/Trio"/>
    <s v="CADET"/>
    <m/>
    <s v="Nastja Ocvirk-Laura Kitek"/>
    <s v="MAŽORETNA SKUPINA LIBOJE"/>
    <s v="Slovenia"/>
    <m/>
    <m/>
    <n v="0"/>
    <n v="1"/>
    <m/>
    <m/>
    <n v="0"/>
    <n v="1"/>
    <n v="23.1"/>
    <n v="0"/>
    <n v="23.1"/>
    <n v="1"/>
    <n v="22.4"/>
    <n v="0"/>
    <n v="22.4"/>
    <n v="1"/>
    <n v="16.100000000000001"/>
    <n v="0"/>
    <n v="16.100000000000001"/>
    <n v="1"/>
    <n v="61.6"/>
    <m/>
    <m/>
    <n v="61.6"/>
    <n v="20.533333333333335"/>
    <n v="61.6"/>
    <n v="1"/>
    <x v="1"/>
    <s v="Majorette_Duo_PomponDuoTrio_Cadet"/>
    <x v="54"/>
  </r>
  <r>
    <n v="76"/>
    <n v="2"/>
    <s v="Pompon Duo/Trio"/>
    <s v="JUNIOR"/>
    <m/>
    <s v="Elena Vragović-Nives Kranjčec-Hana Ela Žauhar"/>
    <s v="KRAPINSKE MAŽORETKINJE"/>
    <s v="Croatia"/>
    <m/>
    <m/>
    <n v="0"/>
    <n v="1"/>
    <m/>
    <m/>
    <n v="0"/>
    <n v="1"/>
    <n v="34.700000000000003"/>
    <n v="1"/>
    <n v="33.700000000000003"/>
    <n v="1"/>
    <n v="35"/>
    <n v="1"/>
    <n v="34"/>
    <n v="1"/>
    <n v="24.7"/>
    <n v="1"/>
    <n v="23.7"/>
    <n v="2"/>
    <n v="91.4"/>
    <m/>
    <m/>
    <n v="91.4"/>
    <n v="31.466666666666669"/>
    <n v="91.4"/>
    <n v="1"/>
    <x v="1"/>
    <s v="Majorette_Duo_PomponDuoTrio_Junior"/>
    <x v="55"/>
  </r>
  <r>
    <n v="74"/>
    <n v="2"/>
    <s v="Pompon Duo/Trio"/>
    <s v="JUNIOR"/>
    <m/>
    <s v="Julija Vinkovič-Leja Železnik"/>
    <s v="DRUŠTVO KAMNIŠKIH MAŽORETK VERONIKA"/>
    <s v="Slovenia"/>
    <m/>
    <m/>
    <n v="0"/>
    <n v="1"/>
    <m/>
    <m/>
    <n v="0"/>
    <n v="1"/>
    <n v="29.7"/>
    <n v="0"/>
    <n v="29.7"/>
    <n v="2"/>
    <n v="32.5"/>
    <n v="0"/>
    <n v="32.5"/>
    <n v="2"/>
    <n v="25.6"/>
    <n v="0"/>
    <n v="25.6"/>
    <n v="1"/>
    <n v="87.800000000000011"/>
    <m/>
    <m/>
    <n v="87.800000000000011"/>
    <n v="29.266666666666669"/>
    <n v="87.800000000000011"/>
    <n v="2"/>
    <x v="1"/>
    <s v="Majorette_Duo_PomponDuoTrio_Junior"/>
    <x v="56"/>
  </r>
  <r>
    <n v="78"/>
    <n v="2"/>
    <s v="Pompon Duo/Trio"/>
    <s v="JUNIOR"/>
    <m/>
    <s v="Maja Slak-Alina Lamovšek"/>
    <s v="MAŽORETNO DRUŠTVO TREBELNO"/>
    <s v="Slovenia"/>
    <m/>
    <m/>
    <n v="0"/>
    <n v="1"/>
    <m/>
    <m/>
    <n v="0"/>
    <n v="1"/>
    <n v="24.5"/>
    <n v="0"/>
    <n v="24.5"/>
    <n v="3"/>
    <n v="26.4"/>
    <n v="0"/>
    <n v="26.4"/>
    <n v="3"/>
    <n v="15.5"/>
    <n v="0"/>
    <n v="15.5"/>
    <n v="3"/>
    <n v="66.400000000000006"/>
    <m/>
    <m/>
    <n v="66.400000000000006"/>
    <n v="22.133333333333336"/>
    <n v="66.400000000000006"/>
    <n v="3"/>
    <x v="1"/>
    <s v="Majorette_Duo_PomponDuoTrio_Junior"/>
    <x v="57"/>
  </r>
  <r>
    <n v="84"/>
    <n v="2"/>
    <s v="Pompon Duo/Trio"/>
    <s v="SENIOR"/>
    <m/>
    <s v="Nika Polšak-Pia Stermecki"/>
    <s v="MAŽORETNA SKUPINA LIBOJE"/>
    <s v="Slovenia"/>
    <m/>
    <m/>
    <n v="0"/>
    <n v="1"/>
    <m/>
    <m/>
    <n v="0"/>
    <n v="1"/>
    <n v="32.4"/>
    <n v="0"/>
    <n v="32.4"/>
    <n v="1"/>
    <n v="27"/>
    <n v="0"/>
    <n v="27"/>
    <n v="1"/>
    <n v="24.7"/>
    <n v="0"/>
    <n v="24.7"/>
    <n v="1"/>
    <n v="84.1"/>
    <m/>
    <m/>
    <n v="84.1"/>
    <n v="28.033333333333331"/>
    <n v="84.1"/>
    <n v="1"/>
    <x v="1"/>
    <s v="Majorette_Duo_PomponDuoTrio_Senior"/>
    <x v="58"/>
  </r>
  <r>
    <n v="82"/>
    <n v="2"/>
    <s v="Pompon Duo/Trio"/>
    <s v="SENIOR"/>
    <m/>
    <s v="Monika Cerar-Neja Erce"/>
    <s v="DRUŠTVO KAMNIŠKIH MAŽORETK VERONIKA"/>
    <s v="Slovenia"/>
    <m/>
    <m/>
    <n v="0"/>
    <n v="1"/>
    <m/>
    <m/>
    <n v="0"/>
    <n v="1"/>
    <n v="25.9"/>
    <n v="0.5"/>
    <n v="25.4"/>
    <n v="2"/>
    <n v="26.9"/>
    <n v="0.5"/>
    <n v="26.4"/>
    <n v="2"/>
    <n v="25.1"/>
    <n v="0.5"/>
    <n v="24.6"/>
    <n v="2"/>
    <n v="76.400000000000006"/>
    <m/>
    <m/>
    <n v="76.400000000000006"/>
    <n v="25.966666666666669"/>
    <n v="76.400000000000006"/>
    <n v="2"/>
    <x v="1"/>
    <s v="Majorette_Duo_PomponDuoTrio_Senior"/>
    <x v="59"/>
  </r>
  <r>
    <n v="80"/>
    <n v="2"/>
    <s v="Pompon Duo/Trio"/>
    <s v="SENIOR"/>
    <m/>
    <s v="Lara Bezjak-Lana Jakopiček-Teja Tertinek"/>
    <s v="MAŽORETNO DRUŠTVO RUŠE"/>
    <s v="Slovenia"/>
    <m/>
    <m/>
    <n v="0"/>
    <n v="1"/>
    <m/>
    <m/>
    <n v="0"/>
    <n v="1"/>
    <n v="25"/>
    <n v="0"/>
    <n v="25"/>
    <n v="3"/>
    <n v="26.3"/>
    <n v="0"/>
    <n v="26.3"/>
    <n v="3"/>
    <n v="24.2"/>
    <n v="0"/>
    <n v="24.2"/>
    <n v="3"/>
    <n v="75.5"/>
    <m/>
    <m/>
    <n v="75.5"/>
    <n v="25.166666666666668"/>
    <n v="75.5"/>
    <n v="3"/>
    <x v="1"/>
    <s v="Majorette_Duo_PomponDuoTrio_Senior"/>
    <x v="60"/>
  </r>
  <r>
    <n v="5"/>
    <m/>
    <s v="Traditional Majorette Group"/>
    <s v="MINI"/>
    <m/>
    <m/>
    <s v="ČAKOVEČKE MAŽORETKINJE"/>
    <s v="Croatia"/>
    <n v="64"/>
    <n v="0"/>
    <n v="64"/>
    <n v="1"/>
    <n v="61.7"/>
    <n v="0"/>
    <n v="61.7"/>
    <n v="1"/>
    <n v="63.7"/>
    <m/>
    <n v="63.7"/>
    <n v="1"/>
    <n v="61.8"/>
    <n v="0"/>
    <n v="61.8"/>
    <n v="1"/>
    <n v="58.5"/>
    <n v="0"/>
    <n v="58.5"/>
    <n v="1"/>
    <n v="309.7"/>
    <n v="58.5"/>
    <n v="64"/>
    <n v="187.2"/>
    <n v="61.94"/>
    <n v="187.2"/>
    <n v="1"/>
    <x v="2"/>
    <s v="Majorette_Group_TraditionalMajoretteGroup_Mini"/>
    <x v="61"/>
  </r>
  <r>
    <n v="13"/>
    <m/>
    <s v="Traditional Majorette Team"/>
    <s v="CHILDREN"/>
    <m/>
    <m/>
    <s v="MAŽORETNA IN TWIRLING SKUPINA OBČINE PESNICA"/>
    <s v="Slovenia"/>
    <n v="64.5"/>
    <n v="0"/>
    <n v="64.5"/>
    <n v="1"/>
    <n v="62.4"/>
    <n v="0"/>
    <n v="62.4"/>
    <n v="1"/>
    <n v="64"/>
    <n v="0"/>
    <n v="64"/>
    <n v="1"/>
    <n v="60.9"/>
    <n v="0"/>
    <n v="60.9"/>
    <n v="1"/>
    <n v="58"/>
    <n v="0"/>
    <n v="58"/>
    <n v="1"/>
    <n v="309.8"/>
    <n v="58"/>
    <n v="64.5"/>
    <n v="187.3"/>
    <n v="61.96"/>
    <n v="187.3"/>
    <n v="1"/>
    <x v="2"/>
    <s v="Majorette_Group_ModernMajoretteTeam_Children"/>
    <x v="61"/>
  </r>
  <r>
    <n v="14"/>
    <m/>
    <s v="Traditional Majorette Team"/>
    <s v="CHILDREN"/>
    <m/>
    <m/>
    <s v="MAŽORETKINJE GRADA VALPOVA"/>
    <s v="Croatia"/>
    <n v="51.5"/>
    <n v="0"/>
    <n v="51.5"/>
    <n v="2"/>
    <n v="49"/>
    <n v="0"/>
    <n v="49"/>
    <n v="2"/>
    <n v="58.3"/>
    <n v="0"/>
    <n v="58.3"/>
    <n v="2"/>
    <n v="59"/>
    <n v="0"/>
    <n v="59"/>
    <n v="2"/>
    <n v="54.6"/>
    <n v="0"/>
    <n v="54.6"/>
    <n v="2"/>
    <n v="272.40000000000003"/>
    <n v="49"/>
    <n v="59"/>
    <n v="164.40000000000003"/>
    <n v="54.480000000000004"/>
    <n v="164.40000000000003"/>
    <n v="2"/>
    <x v="2"/>
    <s v="Majorette_Group_ModernMajoretteTeam_Children"/>
    <x v="61"/>
  </r>
  <r>
    <n v="3"/>
    <m/>
    <s v="Traditional Majorette Group"/>
    <s v="CHILDREN"/>
    <m/>
    <m/>
    <s v="TWIRLING KLUB ANINIH MAŽORETK"/>
    <s v="Slovenia"/>
    <n v="68.5"/>
    <n v="0"/>
    <n v="68.5"/>
    <n v="1"/>
    <n v="71.400000000000006"/>
    <n v="0"/>
    <n v="71.400000000000006"/>
    <n v="1"/>
    <n v="72"/>
    <n v="0"/>
    <n v="72"/>
    <n v="1"/>
    <n v="64.8"/>
    <n v="0"/>
    <n v="64.8"/>
    <n v="1"/>
    <n v="65.3"/>
    <n v="0"/>
    <n v="65.3"/>
    <n v="1"/>
    <n v="342"/>
    <n v="64.8"/>
    <n v="72"/>
    <n v="205.2"/>
    <n v="68.400000000000006"/>
    <n v="205.2"/>
    <n v="1"/>
    <x v="2"/>
    <s v="Majorette_Group_TraditionalMajoretteGroup_Children"/>
    <x v="61"/>
  </r>
  <r>
    <n v="1"/>
    <m/>
    <s v="Traditional Majorette Group"/>
    <s v="CHILDREN"/>
    <m/>
    <m/>
    <s v="UDRUGA MAŽORETKINJA MURSKOG SREDIŠĆA"/>
    <s v="Croatia"/>
    <n v="65"/>
    <n v="0"/>
    <n v="65"/>
    <n v="2"/>
    <n v="64.3"/>
    <n v="0"/>
    <n v="64.3"/>
    <n v="2"/>
    <n v="65.5"/>
    <n v="0"/>
    <n v="65.5"/>
    <n v="2"/>
    <n v="64.400000000000006"/>
    <n v="0"/>
    <n v="64.400000000000006"/>
    <n v="2"/>
    <n v="63.5"/>
    <n v="0"/>
    <n v="63.5"/>
    <n v="2"/>
    <n v="322.70000000000005"/>
    <n v="63.5"/>
    <n v="65.5"/>
    <n v="193.70000000000005"/>
    <n v="64.540000000000006"/>
    <n v="193.70000000000005"/>
    <n v="2"/>
    <x v="2"/>
    <s v="Majorette_Group_TraditionalMajoretteGroup_Children"/>
    <x v="61"/>
  </r>
  <r>
    <n v="2"/>
    <m/>
    <s v="Traditional Majorette Group"/>
    <s v="CHILDREN"/>
    <m/>
    <m/>
    <s v="MAŽORETNA IN TWIRLING SKUPINA OBČINE PESNICA"/>
    <s v="Slovenia"/>
    <n v="55"/>
    <n v="0"/>
    <n v="55"/>
    <n v="3"/>
    <n v="59.4"/>
    <n v="0"/>
    <n v="59.4"/>
    <n v="3"/>
    <n v="62"/>
    <n v="0"/>
    <n v="62"/>
    <n v="3"/>
    <n v="59.1"/>
    <n v="0"/>
    <n v="59.1"/>
    <n v="3"/>
    <n v="56.5"/>
    <n v="0"/>
    <n v="56.5"/>
    <n v="4"/>
    <n v="292"/>
    <n v="55"/>
    <n v="62"/>
    <n v="175"/>
    <n v="58.4"/>
    <n v="175"/>
    <n v="3"/>
    <x v="2"/>
    <s v="Majorette_Group_TraditionalMajoretteGroup_Children"/>
    <x v="61"/>
  </r>
  <r>
    <n v="4"/>
    <m/>
    <s v="Traditional Majorette Group"/>
    <s v="CHILDREN"/>
    <m/>
    <m/>
    <s v="KUD SELNICA, SEKCIJA SELNIČKE MAŽORETKINJE"/>
    <s v="Croatia"/>
    <n v="52.5"/>
    <n v="0.5"/>
    <n v="52"/>
    <n v="4"/>
    <n v="58.8"/>
    <n v="0.5"/>
    <n v="58.3"/>
    <n v="4"/>
    <n v="61.8"/>
    <n v="0.5"/>
    <n v="61.3"/>
    <n v="4"/>
    <n v="59.4"/>
    <n v="0.5"/>
    <n v="58.9"/>
    <n v="4"/>
    <n v="57.2"/>
    <n v="0.5"/>
    <n v="56.7"/>
    <n v="3"/>
    <n v="287.2"/>
    <n v="52"/>
    <n v="61.3"/>
    <n v="173.89999999999998"/>
    <n v="57.94"/>
    <n v="173.89999999999998"/>
    <n v="4"/>
    <x v="2"/>
    <s v="Majorette_Group_TraditionalMajoretteGroup_Children"/>
    <x v="61"/>
  </r>
  <r>
    <n v="7"/>
    <m/>
    <s v="Traditional Majorette Group"/>
    <s v="CADET"/>
    <m/>
    <m/>
    <s v="UDRUGA MAŽORETKINJA MURSKOG SREDIŠĆA"/>
    <s v="Croatia"/>
    <n v="86.1"/>
    <n v="0"/>
    <n v="86.1"/>
    <n v="1"/>
    <n v="80.400000000000006"/>
    <n v="0"/>
    <n v="80.400000000000006"/>
    <n v="1"/>
    <n v="84.4"/>
    <n v="0"/>
    <n v="84.4"/>
    <n v="1"/>
    <n v="81.3"/>
    <n v="0"/>
    <n v="81.3"/>
    <n v="1"/>
    <n v="78.5"/>
    <n v="0"/>
    <n v="78.5"/>
    <n v="1"/>
    <n v="410.7"/>
    <n v="78.5"/>
    <n v="86.1"/>
    <n v="246.1"/>
    <n v="82.14"/>
    <n v="246.1"/>
    <n v="1"/>
    <x v="2"/>
    <s v="Majorette_Group_TraditionalMajoretteGroup_Cadet"/>
    <x v="61"/>
  </r>
  <r>
    <n v="8"/>
    <m/>
    <s v="Traditional Majorette Group"/>
    <s v="CADET"/>
    <m/>
    <m/>
    <s v="KUD SELNICA, SEKCIJA SELNIČKE MAŽORETKINJE"/>
    <s v="Croatia"/>
    <n v="71.5"/>
    <n v="0.5"/>
    <n v="71"/>
    <n v="2"/>
    <n v="68.400000000000006"/>
    <n v="1"/>
    <n v="67.400000000000006"/>
    <n v="2"/>
    <n v="72.3"/>
    <n v="1"/>
    <n v="71.3"/>
    <n v="2"/>
    <n v="67.599999999999994"/>
    <n v="1"/>
    <n v="66.599999999999994"/>
    <n v="2"/>
    <n v="75.3"/>
    <n v="1"/>
    <n v="74.3"/>
    <n v="2"/>
    <n v="350.59999999999997"/>
    <n v="66.599999999999994"/>
    <n v="74.3"/>
    <n v="209.7"/>
    <n v="71.02"/>
    <n v="209.7"/>
    <n v="2"/>
    <x v="2"/>
    <s v="Majorette_Group_TraditionalMajoretteGroup_Cadet"/>
    <x v="61"/>
  </r>
  <r>
    <n v="6"/>
    <m/>
    <s v="Traditional Majorette Group"/>
    <s v="CADET"/>
    <m/>
    <m/>
    <s v="MAŽORETNA IN TWIRLING SKUPINA OBČINE PESNICA"/>
    <s v="Slovenia"/>
    <n v="65.5"/>
    <n v="0"/>
    <n v="65.5"/>
    <n v="3"/>
    <n v="66.900000000000006"/>
    <n v="0"/>
    <n v="66.900000000000006"/>
    <n v="3"/>
    <n v="68.099999999999994"/>
    <n v="0"/>
    <n v="68.099999999999994"/>
    <n v="3"/>
    <n v="61.1"/>
    <n v="0"/>
    <n v="61.1"/>
    <n v="3"/>
    <n v="62.5"/>
    <n v="0"/>
    <n v="62.5"/>
    <n v="3"/>
    <n v="324.10000000000002"/>
    <n v="61.1"/>
    <n v="68.099999999999994"/>
    <n v="194.9"/>
    <n v="64.820000000000007"/>
    <n v="194.9"/>
    <n v="3"/>
    <x v="2"/>
    <s v="Majorette_Group_TraditionalMajoretteGroup_Cadet"/>
    <x v="61"/>
  </r>
  <r>
    <n v="10"/>
    <m/>
    <s v="Modern Majorette Team"/>
    <s v="CADET"/>
    <m/>
    <m/>
    <s v="TWIRLING KLUB ANINIH MAŽORETK"/>
    <s v="Slovenia"/>
    <n v="65"/>
    <n v="2.5"/>
    <n v="62.5"/>
    <n v="1"/>
    <n v="67.099999999999994"/>
    <n v="3"/>
    <n v="64.099999999999994"/>
    <n v="1"/>
    <n v="66.8"/>
    <n v="2.5"/>
    <n v="64.3"/>
    <n v="1"/>
    <n v="61.2"/>
    <n v="3"/>
    <n v="58.2"/>
    <n v="1"/>
    <n v="60.8"/>
    <n v="3"/>
    <n v="57.8"/>
    <n v="1"/>
    <n v="306.89999999999998"/>
    <n v="57.8"/>
    <n v="64.3"/>
    <n v="184.79999999999995"/>
    <n v="64.179999999999993"/>
    <n v="184.79999999999995"/>
    <n v="1"/>
    <x v="2"/>
    <s v="Majorette_Group_ModernMajoretteTeam_Cadet"/>
    <x v="61"/>
  </r>
  <r>
    <n v="9"/>
    <m/>
    <s v="Modern Majorette Team"/>
    <s v="CADET"/>
    <m/>
    <m/>
    <s v="MAŽORETNO DRUŠTVO TREBELNO"/>
    <s v="Slovenia"/>
    <n v="51.5"/>
    <n v="5.5"/>
    <n v="46"/>
    <n v="2"/>
    <n v="63.2"/>
    <n v="5.5"/>
    <n v="57.7"/>
    <n v="2"/>
    <n v="64.900000000000006"/>
    <n v="5.5"/>
    <n v="59.400000000000006"/>
    <n v="2"/>
    <n v="60.4"/>
    <n v="4.5"/>
    <n v="55.9"/>
    <n v="2"/>
    <n v="59.5"/>
    <n v="5.5"/>
    <n v="54"/>
    <n v="2"/>
    <n v="273"/>
    <n v="46"/>
    <n v="59.400000000000006"/>
    <n v="167.6"/>
    <n v="59.9"/>
    <n v="167.6"/>
    <n v="2"/>
    <x v="2"/>
    <s v="Majorette_Group_ModernMajoretteTeam_Cadet"/>
    <x v="61"/>
  </r>
  <r>
    <n v="11"/>
    <m/>
    <s v="Modern Majorette Team"/>
    <s v="JUNIOR"/>
    <m/>
    <m/>
    <s v="MAŽORETNO DRUŠTVO RUŠE"/>
    <s v="Slovenia"/>
    <n v="78.5"/>
    <n v="3.5"/>
    <n v="75"/>
    <n v="1"/>
    <n v="79"/>
    <n v="3.5"/>
    <n v="75.5"/>
    <n v="2"/>
    <n v="80.599999999999994"/>
    <n v="3.5"/>
    <n v="77.099999999999994"/>
    <n v="2"/>
    <n v="75.599999999999994"/>
    <n v="3.5"/>
    <n v="72.099999999999994"/>
    <n v="1"/>
    <n v="78.5"/>
    <n v="3.5"/>
    <n v="75"/>
    <n v="1"/>
    <n v="374.7"/>
    <n v="72.099999999999994"/>
    <n v="77.099999999999994"/>
    <n v="225.50000000000003"/>
    <n v="78.44"/>
    <n v="225.50000000000003"/>
    <n v="1"/>
    <x v="2"/>
    <s v="Majorette_Group_ModernMajoretteTeam_Junior"/>
    <x v="61"/>
  </r>
  <r>
    <n v="12"/>
    <m/>
    <s v="Modern Majorette Team"/>
    <s v="JUNIOR"/>
    <m/>
    <m/>
    <s v="TWIRLING KLUB ANINIH MAŽORETK"/>
    <s v="Slovenia"/>
    <n v="76"/>
    <n v="4"/>
    <n v="72"/>
    <n v="2"/>
    <n v="80"/>
    <n v="4"/>
    <n v="76"/>
    <n v="1"/>
    <n v="82"/>
    <n v="4"/>
    <n v="78"/>
    <n v="1"/>
    <n v="75.5"/>
    <n v="4"/>
    <n v="71.5"/>
    <n v="2"/>
    <n v="73"/>
    <n v="4"/>
    <n v="69"/>
    <n v="2"/>
    <n v="366.5"/>
    <n v="69"/>
    <n v="78"/>
    <n v="219.5"/>
    <n v="77.3"/>
    <n v="219.5"/>
    <n v="2"/>
    <x v="2"/>
    <s v="Majorette_Group_ModernMajoretteTeam_Junior"/>
    <x v="61"/>
  </r>
  <r>
    <n v="16"/>
    <m/>
    <s v="Modern Majorette Group"/>
    <s v="CADET"/>
    <m/>
    <m/>
    <s v="MAŽORETNA IN TWIRLING SKUPINA OBČINE PESNICA"/>
    <s v="Slovenia"/>
    <n v="60"/>
    <n v="3.5"/>
    <n v="56.5"/>
    <n v="1"/>
    <n v="59.5"/>
    <n v="3.5"/>
    <n v="56"/>
    <n v="1"/>
    <n v="60.3"/>
    <n v="3.5"/>
    <n v="56.8"/>
    <n v="1"/>
    <n v="65.7"/>
    <n v="3.5"/>
    <n v="62.2"/>
    <n v="1"/>
    <n v="62"/>
    <n v="3.5"/>
    <n v="58.5"/>
    <n v="1"/>
    <n v="290"/>
    <n v="56"/>
    <n v="62.2"/>
    <n v="171.8"/>
    <n v="61.5"/>
    <n v="171.8"/>
    <n v="1"/>
    <x v="2"/>
    <s v="Majorette_Group_ModernMajoretteGroup_Cadet"/>
    <x v="61"/>
  </r>
  <r>
    <n v="17"/>
    <m/>
    <s v="Modern Majorette Group"/>
    <s v="JUNIOR"/>
    <m/>
    <m/>
    <s v="DRUŠTVO KAMNIŠKIH MAŽORETK VERONIKA"/>
    <s v="Slovenia"/>
    <n v="75"/>
    <n v="4.5"/>
    <n v="70.5"/>
    <n v="1"/>
    <n v="74.5"/>
    <n v="4.5"/>
    <n v="70"/>
    <n v="1"/>
    <n v="75.8"/>
    <n v="4.5"/>
    <n v="71.3"/>
    <n v="1"/>
    <n v="76.599999999999994"/>
    <n v="4"/>
    <n v="72.599999999999994"/>
    <n v="1"/>
    <n v="73.5"/>
    <n v="4.5"/>
    <n v="69"/>
    <n v="1"/>
    <n v="353.4"/>
    <n v="69"/>
    <n v="72.599999999999994"/>
    <n v="211.79999999999998"/>
    <n v="75.08"/>
    <n v="211.79999999999998"/>
    <n v="1"/>
    <x v="2"/>
    <s v="Majorette_Group_ModernMajoretteGroup_Junior"/>
    <x v="61"/>
  </r>
  <r>
    <n v="15"/>
    <m/>
    <s v="Pompon Team"/>
    <s v="JUNIOR"/>
    <m/>
    <m/>
    <s v="TWIRLING IN MAŽORETNI KLUB LUCIJA"/>
    <s v="Slovenia"/>
    <n v="64"/>
    <n v="0.5"/>
    <n v="63.5"/>
    <n v="1"/>
    <n v="64.400000000000006"/>
    <n v="0.5"/>
    <n v="63.900000000000006"/>
    <n v="1"/>
    <n v="63.6"/>
    <n v="0.5"/>
    <n v="63.1"/>
    <n v="1"/>
    <n v="65.900000000000006"/>
    <n v="0.5"/>
    <n v="65.400000000000006"/>
    <n v="1"/>
    <n v="60"/>
    <n v="0.5"/>
    <n v="59.5"/>
    <n v="1"/>
    <n v="315.39999999999998"/>
    <n v="59.5"/>
    <n v="65.400000000000006"/>
    <n v="190.49999999999997"/>
    <n v="63.58"/>
    <n v="190.49999999999997"/>
    <n v="1"/>
    <x v="2"/>
    <s v="Majorette_Group_PomponTeam_Junior"/>
    <x v="61"/>
  </r>
  <r>
    <n v="56"/>
    <m/>
    <s v="Group Mix"/>
    <s v="CADET"/>
    <m/>
    <m/>
    <s v="MAŽORETNA IN TWIRLING SKUPINA OBČINE PESNICA"/>
    <s v="Slovenia"/>
    <n v="63.5"/>
    <n v="1.5"/>
    <n v="62"/>
    <n v="1"/>
    <n v="64.5"/>
    <n v="1.5"/>
    <n v="63"/>
    <n v="1"/>
    <n v="64.400000000000006"/>
    <n v="1.5"/>
    <n v="62.900000000000006"/>
    <n v="1"/>
    <n v="62.8"/>
    <n v="1.5"/>
    <n v="61.3"/>
    <n v="1"/>
    <m/>
    <m/>
    <n v="0"/>
    <n v="1"/>
    <n v="249.2"/>
    <n v="61.3"/>
    <n v="63"/>
    <n v="124.89999999999998"/>
    <n v="63.8"/>
    <n v="124.89999999999998"/>
    <n v="1"/>
    <x v="2"/>
    <s v="Majorette_Group_GroupMix_Cadet"/>
    <x v="61"/>
  </r>
  <r>
    <n v="51"/>
    <m/>
    <s v="Pompon Group"/>
    <s v="MINI"/>
    <m/>
    <m/>
    <s v="DRUŠTVO MAŽORET IN PLESALCEV RIBNICA"/>
    <s v="Slovenia"/>
    <n v="64.8"/>
    <n v="0.5"/>
    <n v="64.3"/>
    <n v="1"/>
    <n v="65.3"/>
    <n v="0.5"/>
    <n v="64.8"/>
    <n v="1"/>
    <n v="65.400000000000006"/>
    <n v="0.5"/>
    <n v="64.900000000000006"/>
    <n v="1"/>
    <n v="58.1"/>
    <n v="0.5"/>
    <n v="57.6"/>
    <n v="1"/>
    <n v="53"/>
    <n v="0.5"/>
    <n v="52.5"/>
    <n v="1"/>
    <n v="304.10000000000002"/>
    <n v="52.5"/>
    <n v="64.900000000000006"/>
    <n v="186.70000000000002"/>
    <n v="61.320000000000007"/>
    <n v="186.70000000000002"/>
    <n v="1"/>
    <x v="2"/>
    <s v="Majorette_Group_PomponGroup_Mini"/>
    <x v="61"/>
  </r>
  <r>
    <n v="60"/>
    <m/>
    <s v="Pompon Group"/>
    <s v="CHILDREN"/>
    <m/>
    <m/>
    <s v="MAŽORETNA SKUPINA LIBOJE"/>
    <s v="Slovenia"/>
    <n v="71.5"/>
    <n v="0"/>
    <n v="71.5"/>
    <n v="1"/>
    <n v="68.5"/>
    <n v="0"/>
    <n v="68.5"/>
    <n v="1"/>
    <n v="66.3"/>
    <n v="0"/>
    <n v="66.3"/>
    <n v="1"/>
    <n v="65.7"/>
    <n v="0"/>
    <n v="65.7"/>
    <n v="1"/>
    <n v="64.599999999999994"/>
    <n v="0"/>
    <n v="64.599999999999994"/>
    <n v="1"/>
    <n v="336.6"/>
    <n v="64.599999999999994"/>
    <n v="71.5"/>
    <n v="200.5"/>
    <n v="67.320000000000007"/>
    <n v="200.5"/>
    <n v="1"/>
    <x v="2"/>
    <s v="Majorette_Group_PomponGroup_Children"/>
    <x v="61"/>
  </r>
  <r>
    <n v="58"/>
    <m/>
    <s v="Pompon Group"/>
    <s v="CHILDREN"/>
    <m/>
    <m/>
    <s v="KRAPINSKE MAŽORETKINJE"/>
    <s v="Croatia"/>
    <n v="65.7"/>
    <n v="0"/>
    <n v="65.7"/>
    <n v="2"/>
    <n v="64.7"/>
    <n v="0"/>
    <n v="64.7"/>
    <n v="2"/>
    <n v="66.099999999999994"/>
    <n v="0"/>
    <n v="66.099999999999994"/>
    <n v="2"/>
    <n v="65.2"/>
    <n v="0"/>
    <n v="65.2"/>
    <n v="2"/>
    <n v="63"/>
    <n v="0"/>
    <n v="63"/>
    <n v="2"/>
    <n v="324.7"/>
    <n v="63"/>
    <n v="66.099999999999994"/>
    <n v="195.6"/>
    <n v="64.94"/>
    <n v="195.6"/>
    <n v="2"/>
    <x v="2"/>
    <s v="Majorette_Group_PomponGroup_Children"/>
    <x v="61"/>
  </r>
  <r>
    <n v="59"/>
    <m/>
    <s v="Pompon Group"/>
    <s v="CHILDREN"/>
    <m/>
    <m/>
    <s v="UDRUGA MAŽORETKINJA MURSKOG SREDIŠĆA"/>
    <s v="Croatia"/>
    <n v="61.5"/>
    <n v="0"/>
    <n v="61.5"/>
    <n v="3"/>
    <n v="61"/>
    <n v="0"/>
    <n v="61"/>
    <n v="3"/>
    <n v="65.400000000000006"/>
    <n v="0"/>
    <n v="65.400000000000006"/>
    <n v="3"/>
    <n v="65.099999999999994"/>
    <n v="0"/>
    <n v="65.099999999999994"/>
    <n v="3"/>
    <n v="61"/>
    <n v="0"/>
    <n v="61"/>
    <n v="3"/>
    <n v="314"/>
    <n v="61"/>
    <n v="65.400000000000006"/>
    <n v="187.6"/>
    <n v="62.8"/>
    <n v="187.6"/>
    <n v="3"/>
    <x v="2"/>
    <s v="Majorette_Group_PomponGroup_Children"/>
    <x v="61"/>
  </r>
  <r>
    <n v="61"/>
    <m/>
    <s v="Pompon Group"/>
    <s v="CADET"/>
    <m/>
    <m/>
    <s v="KUD SELNICA, SEKCIJA SELNIČKE MAŽORETKINJE"/>
    <s v="Croatia"/>
    <n v="66.5"/>
    <n v="0"/>
    <n v="66.5"/>
    <n v="1"/>
    <n v="64.2"/>
    <n v="0"/>
    <n v="64.2"/>
    <n v="1"/>
    <n v="64.900000000000006"/>
    <n v="0"/>
    <n v="64.900000000000006"/>
    <n v="1"/>
    <n v="66.400000000000006"/>
    <n v="0"/>
    <n v="66.400000000000006"/>
    <n v="1"/>
    <n v="63.6"/>
    <n v="0"/>
    <n v="63.6"/>
    <n v="1"/>
    <n v="325.60000000000002"/>
    <n v="63.6"/>
    <n v="66.5"/>
    <n v="195.5"/>
    <n v="65.12"/>
    <n v="195.5"/>
    <n v="1"/>
    <x v="2"/>
    <s v="Majorette_Group_PomponGroup_Cadet"/>
    <x v="61"/>
  </r>
  <r>
    <n v="62"/>
    <m/>
    <s v="Pompon Group"/>
    <s v="JUNIOR"/>
    <m/>
    <m/>
    <s v="TWIRLING IN MAŽORETNI KLUB LUCIJA"/>
    <s v="Slovenia"/>
    <n v="71.400000000000006"/>
    <n v="0.5"/>
    <n v="70.900000000000006"/>
    <n v="1"/>
    <n v="69.900000000000006"/>
    <n v="0.5"/>
    <n v="69.400000000000006"/>
    <n v="1"/>
    <n v="66.8"/>
    <n v="0.5"/>
    <n v="66.3"/>
    <n v="1"/>
    <n v="65.8"/>
    <n v="0.5"/>
    <n v="65.3"/>
    <n v="1"/>
    <n v="63.7"/>
    <n v="0.5"/>
    <n v="63.2"/>
    <n v="1"/>
    <n v="335.1"/>
    <n v="63.2"/>
    <n v="70.900000000000006"/>
    <n v="201.00000000000003"/>
    <n v="67.52000000000001"/>
    <n v="201.00000000000003"/>
    <n v="1"/>
    <x v="2"/>
    <s v="Majorette_Group_PomponGroup_Junior"/>
    <x v="61"/>
  </r>
  <r>
    <n v="52"/>
    <m/>
    <s v="Show Dance"/>
    <s v="MINI"/>
    <m/>
    <m/>
    <s v="ČAKOVEČKE MAŽORETKINJE"/>
    <s v="Croatia"/>
    <n v="60.7"/>
    <n v="0.5"/>
    <n v="60.2"/>
    <n v="1"/>
    <n v="60.5"/>
    <n v="0.5"/>
    <n v="60"/>
    <n v="1"/>
    <n v="60.7"/>
    <n v="0.5"/>
    <n v="60.2"/>
    <n v="1"/>
    <n v="58.5"/>
    <n v="0.5"/>
    <n v="58"/>
    <n v="1"/>
    <n v="53"/>
    <n v="0.5"/>
    <n v="52.5"/>
    <n v="1"/>
    <n v="290.89999999999998"/>
    <n v="52.5"/>
    <n v="60.2"/>
    <n v="178.2"/>
    <n v="58.679999999999993"/>
    <n v="178.2"/>
    <n v="1"/>
    <x v="2"/>
    <s v="Majorette_Group_ShowDance_Mini"/>
    <x v="61"/>
  </r>
  <r>
    <n v="57"/>
    <m/>
    <s v="Show Dance"/>
    <s v="CHILDREN"/>
    <m/>
    <m/>
    <s v="DRUŠTVO MAŽORET IN PLESALCEV RIBNICA"/>
    <s v="Slovenia"/>
    <n v="63.1"/>
    <n v="4.5"/>
    <n v="58.6"/>
    <n v="1"/>
    <n v="61.7"/>
    <n v="4.5"/>
    <n v="57.2"/>
    <n v="1"/>
    <n v="66.599999999999994"/>
    <n v="4.5"/>
    <n v="62.099999999999994"/>
    <n v="1"/>
    <n v="61.7"/>
    <n v="4.5"/>
    <n v="57.2"/>
    <n v="1"/>
    <n v="54"/>
    <n v="5"/>
    <n v="49"/>
    <n v="1"/>
    <n v="284.10000000000002"/>
    <n v="49"/>
    <n v="62.099999999999994"/>
    <n v="173.00000000000003"/>
    <n v="61.42"/>
    <n v="173.00000000000003"/>
    <n v="1"/>
    <x v="2"/>
    <s v="Majorette_Group_ShowDance_Children"/>
    <x v="61"/>
  </r>
  <r>
    <n v="53"/>
    <m/>
    <s v="Show Dance"/>
    <s v="CADET"/>
    <m/>
    <m/>
    <s v="MAŽORETKINJE GORIČAN"/>
    <s v="Croatia"/>
    <n v="92"/>
    <n v="3"/>
    <n v="89"/>
    <n v="1"/>
    <n v="91.8"/>
    <n v="3"/>
    <n v="88.8"/>
    <n v="1"/>
    <n v="89.5"/>
    <n v="3"/>
    <n v="86.5"/>
    <n v="1"/>
    <n v="88"/>
    <n v="3"/>
    <n v="85"/>
    <n v="1"/>
    <n v="86"/>
    <n v="3"/>
    <n v="83"/>
    <n v="1"/>
    <n v="432.3"/>
    <n v="83"/>
    <n v="89"/>
    <n v="260.3"/>
    <n v="89.460000000000008"/>
    <n v="260.3"/>
    <n v="1"/>
    <x v="2"/>
    <s v="Majorette_Group_ShowDance_Cadet"/>
    <x v="61"/>
  </r>
  <r>
    <n v="54"/>
    <m/>
    <s v="Show Dance"/>
    <s v="CADET"/>
    <m/>
    <m/>
    <s v="DRUŠTVO MAŽORET IN PLESALCEV RIBNICA"/>
    <s v="Slovenia"/>
    <n v="83"/>
    <n v="10"/>
    <n v="73"/>
    <n v="2"/>
    <n v="86"/>
    <n v="10"/>
    <n v="76"/>
    <n v="2"/>
    <n v="87.2"/>
    <n v="10"/>
    <n v="77.2"/>
    <n v="2"/>
    <n v="81.2"/>
    <n v="10"/>
    <n v="71.2"/>
    <n v="2"/>
    <n v="72.5"/>
    <n v="10"/>
    <n v="62.5"/>
    <n v="2"/>
    <n v="359.9"/>
    <n v="62.5"/>
    <n v="77.2"/>
    <n v="220.2"/>
    <n v="81.97999999999999"/>
    <n v="220.2"/>
    <n v="2"/>
    <x v="2"/>
    <s v="Majorette_Group_ShowDance_Cadet"/>
    <x v="61"/>
  </r>
  <r>
    <n v="55"/>
    <m/>
    <s v="Show Dance"/>
    <s v="JUNIOR"/>
    <m/>
    <m/>
    <s v="DRUŠTVO MAŽORET IN PLESALCEV RIBNICA"/>
    <s v="Slovenia"/>
    <n v="91.5"/>
    <n v="2.5"/>
    <n v="89"/>
    <n v="1"/>
    <n v="92"/>
    <n v="2.5"/>
    <n v="89.5"/>
    <n v="1"/>
    <n v="92.8"/>
    <n v="2.5"/>
    <n v="90.3"/>
    <n v="1"/>
    <n v="83.6"/>
    <n v="2.5"/>
    <n v="81.099999999999994"/>
    <n v="1"/>
    <n v="82.8"/>
    <n v="2.5"/>
    <n v="80.3"/>
    <n v="1"/>
    <n v="430.2"/>
    <n v="80.3"/>
    <n v="90.3"/>
    <n v="259.59999999999997"/>
    <n v="88.539999999999992"/>
    <n v="259.59999999999997"/>
    <n v="1"/>
    <x v="2"/>
    <s v="Majorette_Group_ShowDance_Junior"/>
    <x v="61"/>
  </r>
  <r>
    <n v="92"/>
    <m/>
    <s v="Show Dance"/>
    <s v="SENIOR"/>
    <m/>
    <m/>
    <s v="DRUŠTVO MAŽORET IN PLESALCEV RIBNICA"/>
    <s v="Slovenia"/>
    <n v="87.7"/>
    <n v="7.5"/>
    <n v="80.2"/>
    <n v="1"/>
    <n v="85"/>
    <n v="7.5"/>
    <n v="77.5"/>
    <n v="1"/>
    <n v="85.8"/>
    <n v="7.5"/>
    <n v="78.3"/>
    <n v="1"/>
    <n v="86.9"/>
    <n v="7.5"/>
    <n v="79.400000000000006"/>
    <n v="1"/>
    <n v="88"/>
    <n v="7.5"/>
    <n v="80.5"/>
    <n v="1"/>
    <n v="395.9"/>
    <n v="77.5"/>
    <n v="80.5"/>
    <n v="237.89999999999998"/>
    <n v="86.679999999999993"/>
    <n v="237.89999999999998"/>
    <n v="1"/>
    <x v="2"/>
    <s v="Majorette_Group_ShowDance_Senior"/>
    <x v="61"/>
  </r>
  <r>
    <n v="85"/>
    <m/>
    <s v="FLAGS"/>
    <m/>
    <m/>
    <m/>
    <s v="KRAPINSKE MAŽORETKINJE"/>
    <s v="Croatia"/>
    <n v="64.400000000000006"/>
    <n v="0"/>
    <n v="64.400000000000006"/>
    <n v="1"/>
    <n v="64"/>
    <n v="0"/>
    <n v="64"/>
    <n v="1"/>
    <n v="65.400000000000006"/>
    <n v="0"/>
    <n v="65.400000000000006"/>
    <n v="1"/>
    <n v="66.3"/>
    <n v="0"/>
    <n v="66.3"/>
    <n v="1"/>
    <n v="65.5"/>
    <n v="0"/>
    <n v="65.5"/>
    <n v="1"/>
    <n v="325.60000000000002"/>
    <n v="64"/>
    <n v="66.3"/>
    <n v="195.3"/>
    <n v="65.12"/>
    <n v="195.3"/>
    <n v="1"/>
    <x v="2"/>
    <s v="Majorette_Group_Flags_Open"/>
    <x v="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623FD3-F451-41A0-BAA9-EA9E2757745D}" name="Pivot_Query_All" cacheId="2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B67" firstHeaderRow="1" firstDataRow="1" firstDataCol="1"/>
  <pivotFields count="3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" showAll="0"/>
    <pivotField numFmtId="1" showAll="0"/>
    <pivotField showAll="0"/>
    <pivotField showAll="0"/>
    <pivotField numFmtId="2" showAll="0"/>
    <pivotField numFmtId="1" showAll="0"/>
    <pivotField showAll="0"/>
    <pivotField showAll="0"/>
    <pivotField numFmtId="2" showAll="0"/>
    <pivotField numFmtId="1" showAll="0"/>
    <pivotField showAll="0"/>
    <pivotField showAll="0"/>
    <pivotField numFmtId="2" showAll="0"/>
    <pivotField numFmtId="1" showAll="0"/>
    <pivotField showAll="0"/>
    <pivotField showAll="0"/>
    <pivotField numFmtId="2" showAll="0"/>
    <pivotField numFmtId="1" showAll="0"/>
    <pivotField showAll="0"/>
    <pivotField showAll="0"/>
    <pivotField showAll="0"/>
    <pivotField numFmtId="2" showAll="0"/>
    <pivotField numFmtId="2" showAll="0"/>
    <pivotField dataField="1" numFmtId="2" showAll="0"/>
    <pivotField numFmtId="1"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 sortType="descending">
      <items count="63">
        <item x="42"/>
        <item x="43"/>
        <item x="41"/>
        <item x="47"/>
        <item x="45"/>
        <item x="46"/>
        <item x="44"/>
        <item x="39"/>
        <item x="40"/>
        <item x="50"/>
        <item x="48"/>
        <item x="49"/>
        <item x="51"/>
        <item x="52"/>
        <item x="21"/>
        <item x="22"/>
        <item x="25"/>
        <item x="24"/>
        <item x="23"/>
        <item x="19"/>
        <item x="20"/>
        <item x="27"/>
        <item x="26"/>
        <item x="28"/>
        <item x="35"/>
        <item x="34"/>
        <item x="33"/>
        <item x="36"/>
        <item x="37"/>
        <item x="38"/>
        <item x="9"/>
        <item x="10"/>
        <item x="4"/>
        <item x="5"/>
        <item x="7"/>
        <item x="6"/>
        <item x="8"/>
        <item x="0"/>
        <item x="1"/>
        <item x="2"/>
        <item x="3"/>
        <item x="13"/>
        <item x="11"/>
        <item x="12"/>
        <item x="16"/>
        <item x="15"/>
        <item x="14"/>
        <item x="18"/>
        <item x="17"/>
        <item x="54"/>
        <item x="53"/>
        <item x="56"/>
        <item x="55"/>
        <item x="57"/>
        <item x="59"/>
        <item x="58"/>
        <item x="60"/>
        <item x="30"/>
        <item x="29"/>
        <item x="31"/>
        <item x="32"/>
        <item x="6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35"/>
    <field x="37"/>
  </rowFields>
  <rowItems count="66">
    <i>
      <x/>
    </i>
    <i r="1">
      <x v="59"/>
    </i>
    <i r="1">
      <x v="22"/>
    </i>
    <i r="1">
      <x v="60"/>
    </i>
    <i r="1">
      <x v="21"/>
    </i>
    <i r="1">
      <x v="42"/>
    </i>
    <i r="1">
      <x v="43"/>
    </i>
    <i r="1">
      <x v="41"/>
    </i>
    <i r="1">
      <x v="14"/>
    </i>
    <i r="1">
      <x v="48"/>
    </i>
    <i r="1">
      <x v="15"/>
    </i>
    <i r="1">
      <x v="46"/>
    </i>
    <i r="1">
      <x v="18"/>
    </i>
    <i r="1">
      <x v="47"/>
    </i>
    <i r="1">
      <x v="45"/>
    </i>
    <i r="1">
      <x v="23"/>
    </i>
    <i r="1">
      <x v="17"/>
    </i>
    <i r="1">
      <x v="19"/>
    </i>
    <i r="1">
      <x v="32"/>
    </i>
    <i r="1">
      <x v="33"/>
    </i>
    <i r="1">
      <x v="35"/>
    </i>
    <i r="1">
      <x v="20"/>
    </i>
    <i r="1">
      <x v="34"/>
    </i>
    <i r="1">
      <x v="57"/>
    </i>
    <i r="1">
      <x v="36"/>
    </i>
    <i r="1">
      <x v="30"/>
    </i>
    <i r="1">
      <x v="16"/>
    </i>
    <i r="1">
      <x v="37"/>
    </i>
    <i r="1">
      <x v="44"/>
    </i>
    <i r="1">
      <x v="38"/>
    </i>
    <i r="1">
      <x v="31"/>
    </i>
    <i r="1">
      <x v="39"/>
    </i>
    <i r="1">
      <x v="58"/>
    </i>
    <i r="1">
      <x v="40"/>
    </i>
    <i>
      <x v="1"/>
    </i>
    <i r="1">
      <x v="10"/>
    </i>
    <i r="1">
      <x v="29"/>
    </i>
    <i r="1">
      <x v="52"/>
    </i>
    <i r="1">
      <x v="51"/>
    </i>
    <i r="1">
      <x v="55"/>
    </i>
    <i r="1">
      <x v="11"/>
    </i>
    <i r="1">
      <x v="54"/>
    </i>
    <i r="1">
      <x v="56"/>
    </i>
    <i r="1">
      <x v="53"/>
    </i>
    <i r="1">
      <x v="49"/>
    </i>
    <i r="1">
      <x v="2"/>
    </i>
    <i r="1">
      <x v="9"/>
    </i>
    <i r="1">
      <x v="50"/>
    </i>
    <i r="1">
      <x v="27"/>
    </i>
    <i r="1">
      <x v="13"/>
    </i>
    <i r="1">
      <x v="28"/>
    </i>
    <i r="1">
      <x v="7"/>
    </i>
    <i r="1">
      <x/>
    </i>
    <i r="1">
      <x v="8"/>
    </i>
    <i r="1">
      <x v="12"/>
    </i>
    <i r="1">
      <x v="1"/>
    </i>
    <i r="1">
      <x v="6"/>
    </i>
    <i r="1">
      <x v="4"/>
    </i>
    <i r="1">
      <x v="26"/>
    </i>
    <i r="1">
      <x v="5"/>
    </i>
    <i r="1">
      <x v="25"/>
    </i>
    <i r="1">
      <x v="24"/>
    </i>
    <i r="1">
      <x v="3"/>
    </i>
    <i>
      <x v="2"/>
    </i>
    <i r="1">
      <x v="61"/>
    </i>
    <i t="grand">
      <x/>
    </i>
  </rowItems>
  <colItems count="1">
    <i/>
  </colItems>
  <dataFields count="1">
    <dataField name="Sum of FINAL SCORE" fld="33" baseField="0" baseItem="0" numFmtId="4"/>
  </dataFields>
  <formats count="2">
    <format dxfId="34">
      <pivotArea outline="0" collapsedLevelsAreSubtotals="1" fieldPosition="0"/>
    </format>
    <format dxfId="3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adjustColumnWidth="0" connectionId="1" xr16:uid="{F4D56624-724D-4EE6-A891-B9508875D88C}" autoFormatId="16" applyNumberFormats="0" applyBorderFormats="0" applyFontFormats="0" applyPatternFormats="0" applyAlignmentFormats="0" applyWidthHeightFormats="0">
  <queryTableRefresh nextId="114">
    <queryTableFields count="38">
      <queryTableField id="41" name="Start No." tableColumnId="2"/>
      <queryTableField id="42" name="Lane" tableColumnId="3"/>
      <queryTableField id="43" name="Category" tableColumnId="4"/>
      <queryTableField id="44" name="Age_x000a_Division" tableColumnId="5"/>
      <queryTableField id="45" name="Level" tableColumnId="6"/>
      <queryTableField id="46" name="Athlete" tableColumnId="7"/>
      <queryTableField id="47" name="Club" tableColumnId="8"/>
      <queryTableField id="48" name="Country" tableColumnId="9"/>
      <queryTableField id="49" name="Judge 1_x000a_Tamara Beljak" tableColumnId="10"/>
      <queryTableField id="50" name="J1 (-)" tableColumnId="11"/>
      <queryTableField id="51" name="J1 TOTAL" tableColumnId="12"/>
      <queryTableField id="52" name="J1 (Rank)" tableColumnId="13"/>
      <queryTableField id="53" name="Judge 2_x000a_Tihomir Bendelja" tableColumnId="14"/>
      <queryTableField id="54" name="J2 (-)" tableColumnId="15"/>
      <queryTableField id="55" name="J2 TOTAL" tableColumnId="16"/>
      <queryTableField id="56" name="J2 (Rank)" tableColumnId="17"/>
      <queryTableField id="57" name="Judge 3_x000a_Tea Softić" tableColumnId="18"/>
      <queryTableField id="58" name="J3 (-)" tableColumnId="19"/>
      <queryTableField id="59" name="J3 TOTAL" tableColumnId="20"/>
      <queryTableField id="60" name="J3 (Rank)" tableColumnId="21"/>
      <queryTableField id="61" name="Judge 4_x000a_Bernard Barač" tableColumnId="22"/>
      <queryTableField id="62" name="J4 (-)" tableColumnId="23"/>
      <queryTableField id="63" name="J4 TOTAL" tableColumnId="24"/>
      <queryTableField id="64" name="J4 (Rank)" tableColumnId="25"/>
      <queryTableField id="65" name="Judge 5_x000a_Barbara Novina" tableColumnId="26"/>
      <queryTableField id="66" name="J5 (-)" tableColumnId="27"/>
      <queryTableField id="67" name="J5 TOTAL" tableColumnId="28"/>
      <queryTableField id="68" name="J5 (Rank)" tableColumnId="29"/>
      <queryTableField id="69" name="Total" tableColumnId="30"/>
      <queryTableField id="70" name="Low" tableColumnId="31"/>
      <queryTableField id="71" name="High" tableColumnId="32"/>
      <queryTableField id="72" name="Final Total" tableColumnId="33"/>
      <queryTableField id="73" name="Avg" tableColumnId="34"/>
      <queryTableField id="74" name="FINAL SCORE" tableColumnId="35"/>
      <queryTableField id="75" name="Rank" tableColumnId="36"/>
      <queryTableField id="76" name="Category Type" tableColumnId="37"/>
      <queryTableField id="1" name="Name" tableColumnId="1"/>
      <queryTableField id="113" name="CONSOLIDATED" tableColumnId="38"/>
    </queryTableFields>
  </queryTableRefresh>
</queryTable>
</file>

<file path=xl/tables/_rels/table4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162F75-BF5C-42F8-AD53-EF09939AAC81}" name="Majorette_Solo_MajoretteSolo_Children" displayName="Majorette_Solo_MajoretteSolo_Children" ref="A1:AJ5" totalsRowShown="0" headerRowDxfId="1594" dataDxfId="1593">
  <autoFilter ref="A1:AJ5" xr:uid="{042C9DAD-4CB0-4D2A-8C87-3D9863992DF4}"/>
  <sortState xmlns:xlrd2="http://schemas.microsoft.com/office/spreadsheetml/2017/richdata2" ref="A2:AJ5">
    <sortCondition ref="AI1:AI5"/>
  </sortState>
  <tableColumns count="36">
    <tableColumn id="1" xr3:uid="{DE03D826-3C21-4A32-B8C7-DD98F0614F76}" name="Start No." dataDxfId="1630"/>
    <tableColumn id="8" xr3:uid="{5FB48564-BF8D-493A-8F2B-D3F58D0CBF67}" name="Lane" dataDxfId="1629"/>
    <tableColumn id="9" xr3:uid="{9E5D55B3-99F6-489C-9F4E-6FB681AEDD5B}" name="Category" dataDxfId="1628"/>
    <tableColumn id="32" xr3:uid="{2F7FE5CF-C092-4575-907A-B63DDDCE6715}" name="Age_x000a_Division" dataDxfId="1627"/>
    <tableColumn id="40" xr3:uid="{E7CE2C80-77F0-4011-BF6A-E600DFAC48B1}" name="Level" dataDxfId="1626"/>
    <tableColumn id="4" xr3:uid="{9581FC88-651B-4252-B50F-E6536D771B00}" name="Athlete" dataDxfId="1625"/>
    <tableColumn id="38" xr3:uid="{B8A8BE5D-D2BF-4DE3-A24D-4593A1C24BA4}" name="Club" dataDxfId="1624"/>
    <tableColumn id="37" xr3:uid="{705C9DC2-3B29-4078-9E3C-B6329FA8F593}" name="Country" dataDxfId="1623"/>
    <tableColumn id="15" xr3:uid="{041C2B49-7740-4A3D-A9BE-FAE0CC1B7312}" name="Judge 1_x000a_Tamara Beljak" dataDxfId="1622"/>
    <tableColumn id="33" xr3:uid="{856B45EB-DA8F-45F9-968D-CF356F45D0A9}" name="J1 (-)" dataDxfId="1621"/>
    <tableColumn id="26" xr3:uid="{2B416FD2-7CAC-4D6C-B25B-57F95F759482}" name="J1 TOTAL" dataDxfId="1620">
      <calculatedColumnFormula>Majorette_Solo_MajoretteSolo_Children[[#This Row],[Judge 1
Tamara Beljak]]-J2</calculatedColumnFormula>
    </tableColumn>
    <tableColumn id="3" xr3:uid="{C0E8232B-E71F-4ED0-8DEE-4A289AC2B145}" name="J1 (Rank)" dataDxfId="1619">
      <calculatedColumnFormula>COUNTIFS(Majorette_Solo_MajoretteSolo_Children[Age
Division],Majorette_Solo_MajoretteSolo_Children[[#This Row],[Age
Division]],Majorette_Solo_MajoretteSolo_Children[Category],Majorette_Solo_MajoretteSolo_Children[[#This Row],[Category]],Majorette_Solo_MajoretteSolo_Children[J1 TOTAL],"&gt;"&amp;Majorette_Solo_MajoretteSolo_Children[[#This Row],[J1 TOTAL]])+1</calculatedColumnFormula>
    </tableColumn>
    <tableColumn id="16" xr3:uid="{B830C189-CB04-4126-91B0-8D3AE54F707E}" name="Judge 2_x000a_Tihomir Bendelja" dataDxfId="1618"/>
    <tableColumn id="34" xr3:uid="{D00EE09A-40C8-4CCA-9954-709204A42FEA}" name="J2 (-)" dataDxfId="1617"/>
    <tableColumn id="28" xr3:uid="{69D53097-E3C4-46ED-9C5D-07915AFF6AE4}" name="J2 TOTAL" dataDxfId="1616">
      <calculatedColumnFormula>Majorette_Solo_MajoretteSolo_Children[[#This Row],[Judge 2
Tihomir Bendelja]]-Majorette_Solo_MajoretteSolo_Children[[#This Row],[J2 (-)]]</calculatedColumnFormula>
    </tableColumn>
    <tableColumn id="5" xr3:uid="{89C19E5B-B71A-47F3-B89E-D1704584EEDE}" name="J2 (Rank)" dataDxfId="1615">
      <calculatedColumnFormula>COUNTIFS(Majorette_Solo_MajoretteSolo_Children[Age
Division],Majorette_Solo_MajoretteSolo_Children[[#This Row],[Age
Division]],Majorette_Solo_MajoretteSolo_Children[Category],Majorette_Solo_MajoretteSolo_Children[[#This Row],[Category]],Majorette_Solo_MajoretteSolo_Children[J2 TOTAL],"&gt;"&amp;Majorette_Solo_MajoretteSolo_Children[[#This Row],[J2 TOTAL]])+1</calculatedColumnFormula>
    </tableColumn>
    <tableColumn id="17" xr3:uid="{F6B132BD-A962-4552-974D-4EDD310F1594}" name="Judge 3_x000a_Tea Softić" dataDxfId="1614"/>
    <tableColumn id="35" xr3:uid="{21716E94-6715-4734-9086-4FB9A4398E00}" name="J3 (-)" dataDxfId="1613"/>
    <tableColumn id="30" xr3:uid="{348B6392-E3DA-4246-905C-AED9D90F1900}" name="J3 TOTAL" dataDxfId="1612">
      <calculatedColumnFormula>Majorette_Solo_MajoretteSolo_Children[[#This Row],[Judge 3
Tea Softić]]-R2</calculatedColumnFormula>
    </tableColumn>
    <tableColumn id="6" xr3:uid="{8518DBF3-C6C9-4B9F-9066-518486198EF6}" name="J3 (Rank)" dataDxfId="1611">
      <calculatedColumnFormula>COUNTIFS(Majorette_Solo_MajoretteSolo_Children[Age
Division],Majorette_Solo_MajoretteSolo_Children[[#This Row],[Age
Division]],Majorette_Solo_MajoretteSolo_Children[Category],Majorette_Solo_MajoretteSolo_Children[[#This Row],[Category]],Majorette_Solo_MajoretteSolo_Children[J3 TOTAL],"&gt;"&amp;Majorette_Solo_MajoretteSolo_Children[[#This Row],[J3 TOTAL]])+1</calculatedColumnFormula>
    </tableColumn>
    <tableColumn id="18" xr3:uid="{0374E4F7-6FAB-4E98-B506-1AD1A2F60728}" name="Judge 4_x000a_Bernard Barač" dataDxfId="1610"/>
    <tableColumn id="36" xr3:uid="{D7AC6780-5373-44CD-8A50-93E6D6D3AD99}" name="J4 (-)" dataDxfId="1609"/>
    <tableColumn id="31" xr3:uid="{653EF0ED-9D55-44B1-BCAF-1783645DB367}" name="J4 TOTAL" dataDxfId="1608">
      <calculatedColumnFormula>Majorette_Solo_MajoretteSolo_Children[[#This Row],[Judge 4
Bernard Barač]]-V2</calculatedColumnFormula>
    </tableColumn>
    <tableColumn id="7" xr3:uid="{1471524E-6135-4C30-AB13-547EFC659672}" name="J4 (Rank)" dataDxfId="1607">
      <calculatedColumnFormula>COUNTIFS(Majorette_Solo_MajoretteSolo_Children[Age
Division],Majorette_Solo_MajoretteSolo_Children[[#This Row],[Age
Division]],Majorette_Solo_MajoretteSolo_Children[Category],Majorette_Solo_MajoretteSolo_Children[[#This Row],[Category]],Majorette_Solo_MajoretteSolo_Children[J4 TOTAL],"&gt;"&amp;Majorette_Solo_MajoretteSolo_Children[[#This Row],[J4 TOTAL]])+1</calculatedColumnFormula>
    </tableColumn>
    <tableColumn id="12" xr3:uid="{2195C47B-40B8-4AB0-AB36-D8D7361A179A}" name="Judge 5_x000a_Barbara Novina" dataDxfId="1606"/>
    <tableColumn id="11" xr3:uid="{8F1FBD83-3137-4C34-A1EF-EEC0F9AC0131}" name="J5 (-)" dataDxfId="1605"/>
    <tableColumn id="10" xr3:uid="{25FF02BF-29C2-4954-9CB0-12312D74775D}" name="J5 TOTAL" dataDxfId="1604">
      <calculatedColumnFormula>Majorette_Solo_MajoretteSolo_Children[[#This Row],[Judge 5
Barbara Novina]]-Z2</calculatedColumnFormula>
    </tableColumn>
    <tableColumn id="2" xr3:uid="{617E326B-C3F8-478F-953A-2C4B1746F121}" name="J5 (Rank)" dataDxfId="1603">
      <calculatedColumnFormula>COUNTIFS(Majorette_Solo_MajoretteSolo_Children[Age
Division],Majorette_Solo_MajoretteSolo_Children[[#This Row],[Age
Division]],Majorette_Solo_MajoretteSolo_Children[Category],Majorette_Solo_MajoretteSolo_Children[[#This Row],[Category]],Majorette_Solo_MajoretteSolo_Children[J5 TOTAL],"&gt;"&amp;Majorette_Solo_MajoretteSolo_Children[[#This Row],[J5 TOTAL]])+1</calculatedColumnFormula>
    </tableColumn>
    <tableColumn id="20" xr3:uid="{ADDC5D5E-5221-4CA6-9491-7DD6557A3699}" name="Total" dataDxfId="1602">
      <calculatedColumnFormula>SUM(Majorette_Solo_MajoretteSolo_Children[[#This Row],[J1 TOTAL]]+Majorette_Solo_MajoretteSolo_Children[[#This Row],[J2 TOTAL]]+Majorette_Solo_MajoretteSolo_Children[[#This Row],[J3 TOTAL]]+Majorette_Solo_MajoretteSolo_Children[[#This Row],[J4 TOTAL]])+Majorette_Solo_MajoretteSolo_Children[[#This Row],[J5 TOTAL]]</calculatedColumnFormula>
    </tableColumn>
    <tableColumn id="23" xr3:uid="{D7A72F0D-2A23-4ACD-934F-B687B8A792F7}" name="Low" dataDxfId="1601"/>
    <tableColumn id="19" xr3:uid="{79504D2F-D524-4264-BE36-7F5913D69556}" name="High" dataDxfId="1600"/>
    <tableColumn id="25" xr3:uid="{71C1E977-8877-4B6A-8D3E-E21748F864F5}" name="Final Total" dataDxfId="1599">
      <calculatedColumnFormula>SUM(Majorette_Solo_MajoretteSolo_Children[[#This Row],[Total]]-Majorette_Solo_MajoretteSolo_Children[[#This Row],[Low]]-Majorette_Solo_MajoretteSolo_Children[[#This Row],[High]])</calculatedColumnFormula>
    </tableColumn>
    <tableColumn id="24" xr3:uid="{0D24C637-D789-4F93-9A17-74A0EE208313}" name="Avg" dataDxfId="1598">
      <calculatedColumnFormula>AVERAGE(I2,M2,Q2,U2,Y2)</calculatedColumnFormula>
    </tableColumn>
    <tableColumn id="22" xr3:uid="{43CA8472-602A-4D4F-BE6F-C60FEB8E56E4}" name="FINAL SCORE" dataDxfId="1597">
      <calculatedColumnFormula>Majorette_Solo_MajoretteSolo_Children[[#This Row],[Final Total]]</calculatedColumnFormula>
    </tableColumn>
    <tableColumn id="27" xr3:uid="{44C6A285-DB03-49EC-B988-3995E70462B8}" name="Rank" dataDxfId="1596">
      <calculatedColumnFormula>COUNTIFS(Majorette_Solo_MajoretteSolo_Children[Age
Division],Majorette_Solo_MajoretteSolo_Children[[#This Row],[Age
Division]],Majorette_Solo_MajoretteSolo_Children[Category],Majorette_Solo_MajoretteSolo_Children[[#This Row],[Category]],Majorette_Solo_MajoretteSolo_Children[FINAL SCORE],"&gt;"&amp;Majorette_Solo_MajoretteSolo_Children[[#This Row],[FINAL SCORE]])+1</calculatedColumnFormula>
    </tableColumn>
    <tableColumn id="39" xr3:uid="{3F6A1304-92B8-44A4-908E-909EEED92C26}" name="Category Type" dataDxfId="159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37FA0F1-3EEA-440C-9C61-262E3DD3AE4B}" name="Majorette_Solo_PomponSolo_Junior" displayName="Majorette_Solo_PomponSolo_Junior" ref="A1:AJ2" totalsRowShown="0" headerRowDxfId="1252" dataDxfId="1251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0AC99534-87E0-49BF-A7E0-821841A636B2}" name="Start No." dataDxfId="1288"/>
    <tableColumn id="8" xr3:uid="{C6C1D9A7-3A59-42DF-81E5-AC73E6B88499}" name="Lane" dataDxfId="1287"/>
    <tableColumn id="9" xr3:uid="{0D09923D-D94D-4A46-98CA-C6887B9D313B}" name="Category" dataDxfId="1286"/>
    <tableColumn id="32" xr3:uid="{34C0F0F2-82A5-4B05-9929-62E37E45512B}" name="Age_x000a_Division" dataDxfId="1285"/>
    <tableColumn id="40" xr3:uid="{8315B797-D81F-4B9C-ABD0-F156FA0F833F}" name="Level" dataDxfId="1284"/>
    <tableColumn id="4" xr3:uid="{020CF8CD-2337-4207-AD69-24FE29C9B548}" name="Athlete" dataDxfId="1283"/>
    <tableColumn id="38" xr3:uid="{9B942D31-6BED-4825-A01A-B6F8AD7E5779}" name="Club" dataDxfId="1282"/>
    <tableColumn id="37" xr3:uid="{5A217508-6232-4B25-998C-96C721930019}" name="Country" dataDxfId="1281"/>
    <tableColumn id="15" xr3:uid="{47ED1640-7632-415E-BA44-D2AB9A2F58A4}" name="Judge 1_x000a_Tamara Beljak" dataDxfId="1280"/>
    <tableColumn id="33" xr3:uid="{3DED9635-C9C1-4FDF-8B32-1767A5A3ABC8}" name="J1 (-)" dataDxfId="1279"/>
    <tableColumn id="26" xr3:uid="{1C14CB25-46EA-45ED-9158-34B5D2CE6A99}" name="J1 TOTAL" dataDxfId="1278">
      <calculatedColumnFormula>Majorette_Solo_PomponSolo_Junior[[#This Row],[Judge 1
Tamara Beljak]]-J2</calculatedColumnFormula>
    </tableColumn>
    <tableColumn id="3" xr3:uid="{15683215-EE5A-4566-93D2-5AC8F144B7D9}" name="J1 (Rank)" dataDxfId="1277">
      <calculatedColumnFormula>COUNTIFS(Majorette_Solo_PomponSolo_Junior[Age
Division],Majorette_Solo_PomponSolo_Junior[[#This Row],[Age
Division]],Majorette_Solo_PomponSolo_Junior[Category],Majorette_Solo_PomponSolo_Junior[[#This Row],[Category]],Majorette_Solo_PomponSolo_Junior[J1 TOTAL],"&gt;"&amp;Majorette_Solo_PomponSolo_Junior[[#This Row],[J1 TOTAL]])+1</calculatedColumnFormula>
    </tableColumn>
    <tableColumn id="16" xr3:uid="{F2DA5066-2756-4C57-B002-C708D85300C0}" name="Judge 2_x000a_Tihomir Bendelja" dataDxfId="1276"/>
    <tableColumn id="34" xr3:uid="{F6575782-D196-44B4-8AEB-1355A4FAE307}" name="J2 (-)" dataDxfId="1275"/>
    <tableColumn id="28" xr3:uid="{4B4CDFB4-00AE-4178-B6D3-D013FD2C9A35}" name="J2 TOTAL" dataDxfId="1274">
      <calculatedColumnFormula>Majorette_Solo_PomponSolo_Junior[[#This Row],[Judge 2
Tihomir Bendelja]]-Majorette_Solo_PomponSolo_Junior[[#This Row],[J2 (-)]]</calculatedColumnFormula>
    </tableColumn>
    <tableColumn id="5" xr3:uid="{7C6B014C-872C-4463-8A86-D8099DFE5C56}" name="J2 (Rank)" dataDxfId="1273">
      <calculatedColumnFormula>COUNTIFS(Majorette_Solo_PomponSolo_Junior[Age
Division],Majorette_Solo_PomponSolo_Junior[[#This Row],[Age
Division]],Majorette_Solo_PomponSolo_Junior[Category],Majorette_Solo_PomponSolo_Junior[[#This Row],[Category]],Majorette_Solo_PomponSolo_Junior[J2 TOTAL],"&gt;"&amp;Majorette_Solo_PomponSolo_Junior[[#This Row],[J2 TOTAL]])+1</calculatedColumnFormula>
    </tableColumn>
    <tableColumn id="17" xr3:uid="{F7212249-FE60-4C83-9F1F-B91D36A123DD}" name="Judge 3_x000a_Tea Softić" dataDxfId="1272"/>
    <tableColumn id="35" xr3:uid="{20930CB8-3F33-4E1F-BC39-69EEDF77B1C2}" name="J3 (-)" dataDxfId="1271"/>
    <tableColumn id="30" xr3:uid="{CDC70B16-2769-4DF4-9572-22AC7FBA68EA}" name="J3 TOTAL" dataDxfId="1270">
      <calculatedColumnFormula>Majorette_Solo_PomponSolo_Junior[[#This Row],[Judge 3
Tea Softić]]-R2</calculatedColumnFormula>
    </tableColumn>
    <tableColumn id="6" xr3:uid="{0A243D69-95F2-40AF-9C23-0120EBCD80ED}" name="J3 (Rank)" dataDxfId="1269">
      <calculatedColumnFormula>COUNTIFS(Majorette_Solo_PomponSolo_Junior[Age
Division],Majorette_Solo_PomponSolo_Junior[[#This Row],[Age
Division]],Majorette_Solo_PomponSolo_Junior[Category],Majorette_Solo_PomponSolo_Junior[[#This Row],[Category]],Majorette_Solo_PomponSolo_Junior[J3 TOTAL],"&gt;"&amp;Majorette_Solo_PomponSolo_Junior[[#This Row],[J3 TOTAL]])+1</calculatedColumnFormula>
    </tableColumn>
    <tableColumn id="18" xr3:uid="{F9F6AF74-1E3C-48B2-AA14-2BA0D660BC96}" name="Judge 4_x000a_Bernard Barač" dataDxfId="1268"/>
    <tableColumn id="36" xr3:uid="{EEA74534-B4B6-4CA5-8400-551B12651981}" name="J4 (-)" dataDxfId="1267"/>
    <tableColumn id="31" xr3:uid="{B56C2D19-927A-4FFC-8094-29DF4C930330}" name="J4 TOTAL" dataDxfId="1266">
      <calculatedColumnFormula>Majorette_Solo_PomponSolo_Junior[[#This Row],[Judge 4
Bernard Barač]]-V2</calculatedColumnFormula>
    </tableColumn>
    <tableColumn id="7" xr3:uid="{A758994A-B30B-4552-8BD9-A6071ED1FD66}" name="J4 (Rank)" dataDxfId="1265">
      <calculatedColumnFormula>COUNTIFS(Majorette_Solo_PomponSolo_Junior[Age
Division],Majorette_Solo_PomponSolo_Junior[[#This Row],[Age
Division]],Majorette_Solo_PomponSolo_Junior[Category],Majorette_Solo_PomponSolo_Junior[[#This Row],[Category]],Majorette_Solo_PomponSolo_Junior[J4 TOTAL],"&gt;"&amp;Majorette_Solo_PomponSolo_Junior[[#This Row],[J4 TOTAL]])+1</calculatedColumnFormula>
    </tableColumn>
    <tableColumn id="12" xr3:uid="{50334CC6-0F88-4F90-8232-86181ABE89D5}" name="Judge 5_x000a_Barbara Novina" dataDxfId="1264"/>
    <tableColumn id="11" xr3:uid="{1377A880-F25B-4F86-B333-FECEB9FC4779}" name="J5 (-)" dataDxfId="1263"/>
    <tableColumn id="10" xr3:uid="{3B3AD588-7D23-4E16-BCC8-B3A67EA53098}" name="J5 TOTAL" dataDxfId="1262">
      <calculatedColumnFormula>Majorette_Solo_PomponSolo_Junior[[#This Row],[Judge 5
Barbara Novina]]-Z2</calculatedColumnFormula>
    </tableColumn>
    <tableColumn id="2" xr3:uid="{B17A785E-8CCE-4252-BC20-FEA865058C98}" name="J5 (Rank)" dataDxfId="1261">
      <calculatedColumnFormula>COUNTIFS(Majorette_Solo_PomponSolo_Junior[Age
Division],Majorette_Solo_PomponSolo_Junior[[#This Row],[Age
Division]],Majorette_Solo_PomponSolo_Junior[Category],Majorette_Solo_PomponSolo_Junior[[#This Row],[Category]],Majorette_Solo_PomponSolo_Junior[J5 TOTAL],"&gt;"&amp;Majorette_Solo_PomponSolo_Junior[[#This Row],[J5 TOTAL]])+1</calculatedColumnFormula>
    </tableColumn>
    <tableColumn id="20" xr3:uid="{D618BE60-6C4D-4A54-8432-8BE63908B3F6}" name="Total" dataDxfId="1260">
      <calculatedColumnFormula>SUM(Majorette_Solo_PomponSolo_Junior[[#This Row],[J1 TOTAL]]+Majorette_Solo_PomponSolo_Junior[[#This Row],[J2 TOTAL]]+Majorette_Solo_PomponSolo_Junior[[#This Row],[J3 TOTAL]]+Majorette_Solo_PomponSolo_Junior[[#This Row],[J4 TOTAL]])+Majorette_Solo_PomponSolo_Junior[[#This Row],[J5 TOTAL]]</calculatedColumnFormula>
    </tableColumn>
    <tableColumn id="23" xr3:uid="{382AE41C-69F8-40FC-A547-05732DB3ABEB}" name="Low" dataDxfId="1259"/>
    <tableColumn id="19" xr3:uid="{287A4139-3D0E-4691-AF6F-AFE8225D6767}" name="High" dataDxfId="1258"/>
    <tableColumn id="25" xr3:uid="{C85ED6BE-F7B7-44C0-AD78-38692E1C3109}" name="Final Total" dataDxfId="1257">
      <calculatedColumnFormula>SUM(Majorette_Solo_PomponSolo_Junior[[#This Row],[Total]]-Majorette_Solo_PomponSolo_Junior[[#This Row],[Low]]-Majorette_Solo_PomponSolo_Junior[[#This Row],[High]])</calculatedColumnFormula>
    </tableColumn>
    <tableColumn id="24" xr3:uid="{514CB27E-3E5D-4F09-895E-63FFA942718F}" name="Avg" dataDxfId="1256">
      <calculatedColumnFormula>AVERAGE(I2,M2,Q2,U2,Y2)</calculatedColumnFormula>
    </tableColumn>
    <tableColumn id="22" xr3:uid="{0F3022BF-7D43-4D22-A905-C24179981789}" name="FINAL SCORE" dataDxfId="1255">
      <calculatedColumnFormula>Majorette_Solo_PomponSolo_Junior[[#This Row],[Final Total]]</calculatedColumnFormula>
    </tableColumn>
    <tableColumn id="27" xr3:uid="{B9CE472E-502C-452D-9C77-BDD0D36A791D}" name="Rank" dataDxfId="1254">
      <calculatedColumnFormula>COUNTIFS(Majorette_Solo_PomponSolo_Junior[Age
Division],Majorette_Solo_PomponSolo_Junior[[#This Row],[Age
Division]],Majorette_Solo_PomponSolo_Junior[Category],Majorette_Solo_PomponSolo_Junior[[#This Row],[Category]],Majorette_Solo_PomponSolo_Junior[FINAL SCORE],"&gt;"&amp;Majorette_Solo_PomponSolo_Junior[[#This Row],[FINAL SCORE]])+1</calculatedColumnFormula>
    </tableColumn>
    <tableColumn id="39" xr3:uid="{CB0897BF-EBBB-49FB-9340-12410CAEE0D3}" name="Category Type" dataDxfId="125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3881AC1-D302-46C2-B1A6-8FE04C853A23}" name="Majorette_Solo_PomponSolo_Senior" displayName="Majorette_Solo_PomponSolo_Senior" ref="A1:AJ2" totalsRowShown="0" headerRowDxfId="1214" dataDxfId="1213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3CA3ED32-74A8-4D5A-94D7-06CEAD4E395B}" name="Start No." dataDxfId="1250"/>
    <tableColumn id="8" xr3:uid="{F41DA556-E8AD-4B30-8E7B-EA7E8E48607F}" name="Lane" dataDxfId="1249"/>
    <tableColumn id="9" xr3:uid="{741DEC75-39CD-44E8-898C-159BD8A53BAC}" name="Category" dataDxfId="1248"/>
    <tableColumn id="32" xr3:uid="{E27E1EB6-868C-405F-8B9D-B033B432F765}" name="Age_x000a_Division" dataDxfId="1247"/>
    <tableColumn id="40" xr3:uid="{79802A9C-75A3-46A0-9D07-7A4F9B7FB92C}" name="Level" dataDxfId="1246"/>
    <tableColumn id="4" xr3:uid="{66220CCA-1DB7-4139-B359-6583BF635B91}" name="Athlete" dataDxfId="1245"/>
    <tableColumn id="38" xr3:uid="{D229C4F2-B1E9-4A04-8E19-87BA1D577545}" name="Club" dataDxfId="1244"/>
    <tableColumn id="37" xr3:uid="{A6CD4EF9-CB81-4663-A8CD-37DB4A2ADDB5}" name="Country" dataDxfId="1243"/>
    <tableColumn id="15" xr3:uid="{2818ABDF-2CE4-4734-B87B-C67148092FCF}" name="Judge 1_x000a_Tamara Beljak" dataDxfId="1242"/>
    <tableColumn id="33" xr3:uid="{E72052FF-F79A-4396-9E74-18B39E3483D8}" name="J1 (-)" dataDxfId="1241"/>
    <tableColumn id="26" xr3:uid="{6866DFEE-F434-42F4-B816-A975E8463AB2}" name="J1 TOTAL" dataDxfId="1240">
      <calculatedColumnFormula>Majorette_Solo_PomponSolo_Senior[[#This Row],[Judge 1
Tamara Beljak]]-J2</calculatedColumnFormula>
    </tableColumn>
    <tableColumn id="3" xr3:uid="{C20E18D1-C92A-4820-AE00-1A4E07CE154D}" name="J1 (Rank)" dataDxfId="1239">
      <calculatedColumnFormula>COUNTIFS(Majorette_Solo_PomponSolo_Senior[Age
Division],Majorette_Solo_PomponSolo_Senior[[#This Row],[Age
Division]],Majorette_Solo_PomponSolo_Senior[Category],Majorette_Solo_PomponSolo_Senior[[#This Row],[Category]],Majorette_Solo_PomponSolo_Senior[J1 TOTAL],"&gt;"&amp;Majorette_Solo_PomponSolo_Senior[[#This Row],[J1 TOTAL]])+1</calculatedColumnFormula>
    </tableColumn>
    <tableColumn id="16" xr3:uid="{AEE3FB33-5C6C-4A5C-92B0-405FABCF59A8}" name="Judge 2_x000a_Tihomir Bendelja" dataDxfId="1238"/>
    <tableColumn id="34" xr3:uid="{6183A927-75D2-47F3-A786-926D694F338A}" name="J2 (-)" dataDxfId="1237"/>
    <tableColumn id="28" xr3:uid="{E1A7EA3E-0EB0-40A4-A253-25B000747E21}" name="J2 TOTAL" dataDxfId="1236">
      <calculatedColumnFormula>Majorette_Solo_PomponSolo_Senior[[#This Row],[Judge 2
Tihomir Bendelja]]-Majorette_Solo_PomponSolo_Senior[[#This Row],[J2 (-)]]</calculatedColumnFormula>
    </tableColumn>
    <tableColumn id="5" xr3:uid="{903C5EF6-DD33-4222-A58C-236726B15C06}" name="J2 (Rank)" dataDxfId="1235">
      <calculatedColumnFormula>COUNTIFS(Majorette_Solo_PomponSolo_Senior[Age
Division],Majorette_Solo_PomponSolo_Senior[[#This Row],[Age
Division]],Majorette_Solo_PomponSolo_Senior[Category],Majorette_Solo_PomponSolo_Senior[[#This Row],[Category]],Majorette_Solo_PomponSolo_Senior[J2 TOTAL],"&gt;"&amp;Majorette_Solo_PomponSolo_Senior[[#This Row],[J2 TOTAL]])+1</calculatedColumnFormula>
    </tableColumn>
    <tableColumn id="17" xr3:uid="{F7DDDC6F-93E5-4286-9AAC-904CBB8B71DE}" name="Judge 3_x000a_Tea Softić" dataDxfId="1234"/>
    <tableColumn id="35" xr3:uid="{6B3B9854-4509-4092-8CE1-5262F750B70E}" name="J3 (-)" dataDxfId="1233"/>
    <tableColumn id="30" xr3:uid="{93B55EB6-8915-4BF6-AC8C-A6FE70E90DFA}" name="J3 TOTAL" dataDxfId="1232">
      <calculatedColumnFormula>Majorette_Solo_PomponSolo_Senior[[#This Row],[Judge 3
Tea Softić]]-R2</calculatedColumnFormula>
    </tableColumn>
    <tableColumn id="6" xr3:uid="{C16F24AD-BFCE-4899-9342-C5A2764EA946}" name="J3 (Rank)" dataDxfId="1231">
      <calculatedColumnFormula>COUNTIFS(Majorette_Solo_PomponSolo_Senior[Age
Division],Majorette_Solo_PomponSolo_Senior[[#This Row],[Age
Division]],Majorette_Solo_PomponSolo_Senior[Category],Majorette_Solo_PomponSolo_Senior[[#This Row],[Category]],Majorette_Solo_PomponSolo_Senior[J3 TOTAL],"&gt;"&amp;Majorette_Solo_PomponSolo_Senior[[#This Row],[J3 TOTAL]])+1</calculatedColumnFormula>
    </tableColumn>
    <tableColumn id="18" xr3:uid="{4870D43B-3AF4-469F-810B-C5FF945E400D}" name="Judge 4_x000a_Bernard Barač" dataDxfId="1230"/>
    <tableColumn id="36" xr3:uid="{C6F1E5D9-DB43-476C-AD48-5A5CE80E25AE}" name="J4 (-)" dataDxfId="1229"/>
    <tableColumn id="31" xr3:uid="{43BDE82D-AB09-4917-AFEA-DFB6CE9C33FB}" name="J4 TOTAL" dataDxfId="1228">
      <calculatedColumnFormula>Majorette_Solo_PomponSolo_Senior[[#This Row],[Judge 4
Bernard Barač]]-V2</calculatedColumnFormula>
    </tableColumn>
    <tableColumn id="7" xr3:uid="{6E6E0E26-2054-41DC-9799-59DA3929C173}" name="J4 (Rank)" dataDxfId="1227">
      <calculatedColumnFormula>COUNTIFS(Majorette_Solo_PomponSolo_Senior[Age
Division],Majorette_Solo_PomponSolo_Senior[[#This Row],[Age
Division]],Majorette_Solo_PomponSolo_Senior[Category],Majorette_Solo_PomponSolo_Senior[[#This Row],[Category]],Majorette_Solo_PomponSolo_Senior[J4 TOTAL],"&gt;"&amp;Majorette_Solo_PomponSolo_Senior[[#This Row],[J4 TOTAL]])+1</calculatedColumnFormula>
    </tableColumn>
    <tableColumn id="12" xr3:uid="{7DCB7ADB-AAF5-42EF-B0DD-A8EC0F47048C}" name="Judge 5_x000a_Barbara Novina" dataDxfId="1226"/>
    <tableColumn id="11" xr3:uid="{9E02008A-C6F7-40CE-BAD6-E97767A99981}" name="J5 (-)" dataDxfId="1225"/>
    <tableColumn id="10" xr3:uid="{4AD68ECB-75A1-4AFA-B46B-A61269F171EE}" name="J5 TOTAL" dataDxfId="1224">
      <calculatedColumnFormula>Majorette_Solo_PomponSolo_Senior[[#This Row],[Judge 5
Barbara Novina]]-Z2</calculatedColumnFormula>
    </tableColumn>
    <tableColumn id="2" xr3:uid="{C6A8E534-4938-436E-990D-86E2966A059B}" name="J5 (Rank)" dataDxfId="1223">
      <calculatedColumnFormula>COUNTIFS(Majorette_Solo_PomponSolo_Senior[Age
Division],Majorette_Solo_PomponSolo_Senior[[#This Row],[Age
Division]],Majorette_Solo_PomponSolo_Senior[Category],Majorette_Solo_PomponSolo_Senior[[#This Row],[Category]],Majorette_Solo_PomponSolo_Senior[J5 TOTAL],"&gt;"&amp;Majorette_Solo_PomponSolo_Senior[[#This Row],[J5 TOTAL]])+1</calculatedColumnFormula>
    </tableColumn>
    <tableColumn id="20" xr3:uid="{FB2235DE-9C4D-4E99-BB7A-52B440CBB294}" name="Total" dataDxfId="1222">
      <calculatedColumnFormula>SUM(Majorette_Solo_PomponSolo_Senior[[#This Row],[J1 TOTAL]]+Majorette_Solo_PomponSolo_Senior[[#This Row],[J2 TOTAL]]+Majorette_Solo_PomponSolo_Senior[[#This Row],[J3 TOTAL]]+Majorette_Solo_PomponSolo_Senior[[#This Row],[J4 TOTAL]])+Majorette_Solo_PomponSolo_Senior[[#This Row],[J5 TOTAL]]</calculatedColumnFormula>
    </tableColumn>
    <tableColumn id="23" xr3:uid="{45A33A5C-6CA1-48D5-8634-824D86E8EA4C}" name="Low" dataDxfId="1221"/>
    <tableColumn id="19" xr3:uid="{39CA242A-F735-4516-9414-EA4596C213C9}" name="High" dataDxfId="1220"/>
    <tableColumn id="25" xr3:uid="{608A7E61-E6D4-49F1-9A56-60BA56150122}" name="Final Total" dataDxfId="1219">
      <calculatedColumnFormula>SUM(Majorette_Solo_PomponSolo_Senior[[#This Row],[Total]]-Majorette_Solo_PomponSolo_Senior[[#This Row],[Low]]-Majorette_Solo_PomponSolo_Senior[[#This Row],[High]])</calculatedColumnFormula>
    </tableColumn>
    <tableColumn id="24" xr3:uid="{1B2EF073-25B4-424E-86D3-C02C9AEC4F17}" name="Avg" dataDxfId="1218">
      <calculatedColumnFormula>AVERAGE(I2,M2,Q2,U2,Y2)</calculatedColumnFormula>
    </tableColumn>
    <tableColumn id="22" xr3:uid="{9E61D14F-04B4-47FE-B6D6-A83999EC7205}" name="FINAL SCORE" dataDxfId="1217">
      <calculatedColumnFormula>Majorette_Solo_PomponSolo_Senior[[#This Row],[Final Total]]</calculatedColumnFormula>
    </tableColumn>
    <tableColumn id="27" xr3:uid="{184F4C0A-F26C-4901-B8D7-3B8581185A80}" name="Rank" dataDxfId="1216">
      <calculatedColumnFormula>COUNTIFS(Majorette_Solo_PomponSolo_Senior[Age
Division],Majorette_Solo_PomponSolo_Senior[[#This Row],[Age
Division]],Majorette_Solo_PomponSolo_Senior[Category],Majorette_Solo_PomponSolo_Senior[[#This Row],[Category]],Majorette_Solo_PomponSolo_Senior[FINAL SCORE],"&gt;"&amp;Majorette_Solo_PomponSolo_Senior[[#This Row],[FINAL SCORE]])+1</calculatedColumnFormula>
    </tableColumn>
    <tableColumn id="39" xr3:uid="{A7778602-2380-4585-9E41-984492B5B9F8}" name="Category Type" dataDxfId="121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ABB7651-7EF4-4FC9-A66E-C6005E53C2AC}" name="Majorette_Duo_MajoretteDuoTrio_Children" displayName="Majorette_Duo_MajoretteDuoTrio_Children" ref="A1:AJ4" totalsRowShown="0" headerRowDxfId="1176" dataDxfId="1175">
  <autoFilter ref="A1:AJ4" xr:uid="{042C9DAD-4CB0-4D2A-8C87-3D9863992DF4}"/>
  <sortState xmlns:xlrd2="http://schemas.microsoft.com/office/spreadsheetml/2017/richdata2" ref="A2:AJ4">
    <sortCondition ref="AI1:AI4"/>
  </sortState>
  <tableColumns count="36">
    <tableColumn id="1" xr3:uid="{E84F316C-0A53-41D8-B941-1D33AAE341D3}" name="Start No." dataDxfId="1212"/>
    <tableColumn id="8" xr3:uid="{7667A247-4588-4B8F-A80F-36BBD8EA9115}" name="Lane" dataDxfId="1211"/>
    <tableColumn id="9" xr3:uid="{6AD9F1E4-56D8-4EF2-8468-CA4CE80319F3}" name="Category" dataDxfId="1210"/>
    <tableColumn id="32" xr3:uid="{1FE231C9-A22F-4110-A5DD-54451A401047}" name="Age_x000a_Division" dataDxfId="1209"/>
    <tableColumn id="40" xr3:uid="{2552D90D-0EB3-41B8-96A4-70899F3ECD15}" name="Level" dataDxfId="1208"/>
    <tableColumn id="4" xr3:uid="{EC480C89-31AD-4593-8248-EAA2033C7952}" name="Athlete" dataDxfId="1207"/>
    <tableColumn id="38" xr3:uid="{9899D546-1C4E-49A1-B626-10DBB79A114C}" name="Club" dataDxfId="1206"/>
    <tableColumn id="37" xr3:uid="{DCC382B6-A079-4C41-9306-852A6E31B2F2}" name="Country" dataDxfId="1205"/>
    <tableColumn id="15" xr3:uid="{EB7F0270-902F-4AE5-A096-A50578E11018}" name="Judge 1_x000a_Tamara Beljak" dataDxfId="1204"/>
    <tableColumn id="33" xr3:uid="{6C9A47EF-4017-4A94-B1F0-BBB77306459D}" name="J1 (-)" dataDxfId="1203"/>
    <tableColumn id="26" xr3:uid="{DC42A3A2-100C-4A51-B932-62114BA58A6E}" name="J1 TOTAL" dataDxfId="1202">
      <calculatedColumnFormula>Majorette_Duo_MajoretteDuoTrio_Children[[#This Row],[Judge 1
Tamara Beljak]]-J2</calculatedColumnFormula>
    </tableColumn>
    <tableColumn id="3" xr3:uid="{5F30A689-88AA-4B0D-BD21-92176FB69973}" name="J1 (Rank)" dataDxfId="1201">
      <calculatedColumnFormula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Row],[Category]],Majorette_Duo_MajoretteDuoTrio_Children[J1 TOTAL],"&gt;"&amp;Majorette_Duo_MajoretteDuoTrio_Children[[#This Row],[J1 TOTAL]])+1</calculatedColumnFormula>
    </tableColumn>
    <tableColumn id="16" xr3:uid="{A596486A-54D4-4C2E-A398-DB80A1AEF389}" name="Judge 2_x000a_Tihomir Bendelja" dataDxfId="1200"/>
    <tableColumn id="34" xr3:uid="{FB2820DE-1970-4929-834B-3C3DCB1D2590}" name="J2 (-)" dataDxfId="1199"/>
    <tableColumn id="28" xr3:uid="{30B612ED-975C-447E-B6C6-123A41E5E9D9}" name="J2 TOTAL" dataDxfId="1198">
      <calculatedColumnFormula>Majorette_Duo_MajoretteDuoTrio_Children[[#This Row],[Judge 2
Tihomir Bendelja]]-Majorette_Duo_MajoretteDuoTrio_Children[[#This Row],[J2 (-)]]</calculatedColumnFormula>
    </tableColumn>
    <tableColumn id="5" xr3:uid="{3596A0C6-791C-4B0F-935B-D64D66D140F4}" name="J2 (Rank)" dataDxfId="1197">
      <calculatedColumnFormula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Row],[Category]],Majorette_Duo_MajoretteDuoTrio_Children[J2 TOTAL],"&gt;"&amp;Majorette_Duo_MajoretteDuoTrio_Children[[#This Row],[J2 TOTAL]])+1</calculatedColumnFormula>
    </tableColumn>
    <tableColumn id="17" xr3:uid="{5B7717C6-6548-4861-A7FB-44A09A34279F}" name="Judge 3_x000a_Tea Softić" dataDxfId="1196"/>
    <tableColumn id="35" xr3:uid="{55D59AC9-43D7-419B-8AC3-73274DCDE9DA}" name="J3 (-)" dataDxfId="1195"/>
    <tableColumn id="30" xr3:uid="{3676F790-0BCC-4E9A-BFD2-CF689E7C2DAA}" name="J3 TOTAL" dataDxfId="1194">
      <calculatedColumnFormula>Majorette_Duo_MajoretteDuoTrio_Children[[#This Row],[Judge 3
Tea Softić]]-R2</calculatedColumnFormula>
    </tableColumn>
    <tableColumn id="6" xr3:uid="{620F54F7-F674-4227-B8CF-4D3771382689}" name="J3 (Rank)" dataDxfId="1193">
      <calculatedColumnFormula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Row],[Category]],Majorette_Duo_MajoretteDuoTrio_Children[J3 TOTAL],"&gt;"&amp;Majorette_Duo_MajoretteDuoTrio_Children[[#This Row],[J3 TOTAL]])+1</calculatedColumnFormula>
    </tableColumn>
    <tableColumn id="18" xr3:uid="{34EF8A60-F682-4791-8830-2F0BC1FE35BF}" name="Judge 4_x000a_Bernard Barač" dataDxfId="1192"/>
    <tableColumn id="36" xr3:uid="{3C89CDEC-EEAC-4375-B62F-2122EAEB2B8B}" name="J4 (-)" dataDxfId="1191"/>
    <tableColumn id="31" xr3:uid="{C5B965D3-7860-4236-9AF1-3AFA767DE51F}" name="J4 TOTAL" dataDxfId="1190">
      <calculatedColumnFormula>Majorette_Duo_MajoretteDuoTrio_Children[[#This Row],[Judge 4
Bernard Barač]]-V2</calculatedColumnFormula>
    </tableColumn>
    <tableColumn id="7" xr3:uid="{2A4FCEB0-8153-466C-AFE7-CF74B27B9CA8}" name="J4 (Rank)" dataDxfId="1189">
      <calculatedColumnFormula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Row],[Category]],Majorette_Duo_MajoretteDuoTrio_Children[J4 TOTAL],"&gt;"&amp;Majorette_Duo_MajoretteDuoTrio_Children[[#This Row],[J4 TOTAL]])+1</calculatedColumnFormula>
    </tableColumn>
    <tableColumn id="12" xr3:uid="{6DA1A258-EDA8-4A9F-9012-016300C17E3E}" name="Judge 5_x000a_Barbara Novina" dataDxfId="1188"/>
    <tableColumn id="11" xr3:uid="{F56E00D9-70FE-497F-8BBB-BF7649158646}" name="J5 (-)" dataDxfId="1187"/>
    <tableColumn id="10" xr3:uid="{0F7E94A2-8FD9-42D2-AD57-6A3A0800AC66}" name="J5 TOTAL" dataDxfId="1186">
      <calculatedColumnFormula>Majorette_Duo_MajoretteDuoTrio_Children[[#This Row],[Judge 5
Barbara Novina]]-Z2</calculatedColumnFormula>
    </tableColumn>
    <tableColumn id="2" xr3:uid="{7858F468-66B9-48E5-89BA-353E974528AF}" name="J5 (Rank)" dataDxfId="1185">
      <calculatedColumnFormula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Row],[Category]],Majorette_Duo_MajoretteDuoTrio_Children[J5 TOTAL],"&gt;"&amp;Majorette_Duo_MajoretteDuoTrio_Children[[#This Row],[J5 TOTAL]])+1</calculatedColumnFormula>
    </tableColumn>
    <tableColumn id="20" xr3:uid="{E5B7B02A-FCBD-4790-A2C9-875749CB1EEC}" name="Total" dataDxfId="1184">
      <calculatedColumnFormula>SUM(Majorette_Duo_MajoretteDuoTrio_Children[[#This Row],[J1 TOTAL]]+Majorette_Duo_MajoretteDuoTrio_Children[[#This Row],[J2 TOTAL]]+Majorette_Duo_MajoretteDuoTrio_Children[[#This Row],[J3 TOTAL]]+Majorette_Duo_MajoretteDuoTrio_Children[[#This Row],[J4 TOTAL]])+Majorette_Duo_MajoretteDuoTrio_Children[[#This Row],[J5 TOTAL]]</calculatedColumnFormula>
    </tableColumn>
    <tableColumn id="23" xr3:uid="{4177EA18-19F2-4A6B-9AB2-D7CC05075009}" name="Low" dataDxfId="1183"/>
    <tableColumn id="19" xr3:uid="{FC0AA960-E20A-44D7-985A-083148FB60DB}" name="High" dataDxfId="1182"/>
    <tableColumn id="25" xr3:uid="{91273740-0E56-446C-B615-052C824EB3CC}" name="Final Total" dataDxfId="1181">
      <calculatedColumnFormula>SUM(Majorette_Duo_MajoretteDuoTrio_Children[[#This Row],[Total]]-Majorette_Duo_MajoretteDuoTrio_Children[[#This Row],[Low]]-Majorette_Duo_MajoretteDuoTrio_Children[[#This Row],[High]])</calculatedColumnFormula>
    </tableColumn>
    <tableColumn id="24" xr3:uid="{516855A6-6A05-4CE7-A5A6-41E60A9D6662}" name="Avg" dataDxfId="1180">
      <calculatedColumnFormula>AVERAGE(I2,M2,Q2,U2,Y2)</calculatedColumnFormula>
    </tableColumn>
    <tableColumn id="22" xr3:uid="{58EA6081-E1B4-4594-A415-052D27CA5539}" name="FINAL SCORE" dataDxfId="1179">
      <calculatedColumnFormula>Majorette_Duo_MajoretteDuoTrio_Children[[#This Row],[Final Total]]</calculatedColumnFormula>
    </tableColumn>
    <tableColumn id="27" xr3:uid="{733AABDB-A6F3-4F27-83C0-88E64DD3895B}" name="Rank" dataDxfId="1178">
      <calculatedColumnFormula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Row],[Category]],Majorette_Duo_MajoretteDuoTrio_Children[FINAL SCORE],"&gt;"&amp;Majorette_Duo_MajoretteDuoTrio_Children[[#This Row],[FINAL SCORE]])+1</calculatedColumnFormula>
    </tableColumn>
    <tableColumn id="39" xr3:uid="{A381FDC7-FF05-46C6-B526-8C98840E0CD4}" name="Category Type" dataDxfId="117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E2264C6-15DF-42B4-9140-1D30A7B41982}" name="Majorette_Duo_MajoretteDuoTrio_Junior" displayName="Majorette_Duo_MajoretteDuoTrio_Junior" ref="A1:AJ3" totalsRowShown="0" headerRowDxfId="1138" dataDxfId="1137">
  <autoFilter ref="A1:AJ3" xr:uid="{042C9DAD-4CB0-4D2A-8C87-3D9863992DF4}"/>
  <sortState xmlns:xlrd2="http://schemas.microsoft.com/office/spreadsheetml/2017/richdata2" ref="A2:AJ3">
    <sortCondition ref="AI1:AI3"/>
  </sortState>
  <tableColumns count="36">
    <tableColumn id="1" xr3:uid="{CBEBA2EA-E764-4805-97E9-49588CAFC928}" name="Start No." dataDxfId="1174"/>
    <tableColumn id="8" xr3:uid="{C734540A-DD07-4E03-8AD3-0E79F0327A4D}" name="Lane" dataDxfId="1173"/>
    <tableColumn id="9" xr3:uid="{BCC95EA4-9B25-4694-BCE6-65AE95E9E908}" name="Category" dataDxfId="1172"/>
    <tableColumn id="32" xr3:uid="{337E853C-2BE7-4F48-8952-310E7DAF7E78}" name="Age_x000a_Division" dataDxfId="1171"/>
    <tableColumn id="40" xr3:uid="{9343B8BD-9B96-4247-A284-EDF97B5F739D}" name="Level" dataDxfId="1170"/>
    <tableColumn id="4" xr3:uid="{ACDA962A-C4C3-41D7-B2DC-7BC62A6C8C9B}" name="Athlete" dataDxfId="1169"/>
    <tableColumn id="38" xr3:uid="{34CD96C3-2002-4E48-8510-F6A8DF71D40F}" name="Club" dataDxfId="1168"/>
    <tableColumn id="37" xr3:uid="{7B99C009-2A19-4C59-955F-CACC350AF35B}" name="Country" dataDxfId="1167"/>
    <tableColumn id="15" xr3:uid="{1CC1B820-1376-4790-8135-847FEC63F172}" name="Judge 1_x000a_Tamara Beljak" dataDxfId="1166"/>
    <tableColumn id="33" xr3:uid="{CAB28E62-1584-4B7A-96A3-C2397B545B82}" name="J1 (-)" dataDxfId="1165"/>
    <tableColumn id="26" xr3:uid="{4FE56293-F057-41B0-919A-6A4F2DF2449A}" name="J1 TOTAL" dataDxfId="1164">
      <calculatedColumnFormula>Majorette_Duo_MajoretteDuoTrio_Junior[[#This Row],[Judge 1
Tamara Beljak]]-J2</calculatedColumnFormula>
    </tableColumn>
    <tableColumn id="3" xr3:uid="{0518E5B0-C440-4E7E-AF2C-4B31F2DE61D8}" name="J1 (Rank)" dataDxfId="1163">
      <calculatedColumnFormula>COUNTIFS(Majorette_Duo_MajoretteDuoTrio_Junior[Age
Division],Majorette_Duo_MajoretteDuoTrio_Junior[[#This Row],[Age
Division]],Majorette_Duo_MajoretteDuoTrio_Junior[Category],Majorette_Duo_MajoretteDuoTrio_Junior[[#This Row],[Category]],Majorette_Duo_MajoretteDuoTrio_Junior[J1 TOTAL],"&gt;"&amp;Majorette_Duo_MajoretteDuoTrio_Junior[[#This Row],[J1 TOTAL]])+1</calculatedColumnFormula>
    </tableColumn>
    <tableColumn id="16" xr3:uid="{A8D66013-7051-49E3-A04B-1993626A8256}" name="Judge 2_x000a_Tihomir Bendelja" dataDxfId="1162"/>
    <tableColumn id="34" xr3:uid="{2A059726-2171-4F23-B3D7-0F7FF8CD5C60}" name="J2 (-)" dataDxfId="1161"/>
    <tableColumn id="28" xr3:uid="{C00D32B7-F7FB-456B-8114-ECF935996ED7}" name="J2 TOTAL" dataDxfId="1160">
      <calculatedColumnFormula>Majorette_Duo_MajoretteDuoTrio_Junior[[#This Row],[Judge 2
Tihomir Bendelja]]-Majorette_Duo_MajoretteDuoTrio_Junior[[#This Row],[J2 (-)]]</calculatedColumnFormula>
    </tableColumn>
    <tableColumn id="5" xr3:uid="{89EFAEFD-7D21-4859-8E50-80471AD572C9}" name="J2 (Rank)" dataDxfId="1159">
      <calculatedColumnFormula>COUNTIFS(Majorette_Duo_MajoretteDuoTrio_Junior[Age
Division],Majorette_Duo_MajoretteDuoTrio_Junior[[#This Row],[Age
Division]],Majorette_Duo_MajoretteDuoTrio_Junior[Category],Majorette_Duo_MajoretteDuoTrio_Junior[[#This Row],[Category]],Majorette_Duo_MajoretteDuoTrio_Junior[J2 TOTAL],"&gt;"&amp;Majorette_Duo_MajoretteDuoTrio_Junior[[#This Row],[J2 TOTAL]])+1</calculatedColumnFormula>
    </tableColumn>
    <tableColumn id="17" xr3:uid="{DD2CDEF1-36D7-49DF-98C8-47612E58EAFC}" name="Judge 3_x000a_Tea Softić" dataDxfId="1158"/>
    <tableColumn id="35" xr3:uid="{01545E73-9530-478A-BF03-C6C5265A584A}" name="J3 (-)" dataDxfId="1157"/>
    <tableColumn id="30" xr3:uid="{3A4031DA-CB3B-4DC5-A85C-55C63CF7DA23}" name="J3 TOTAL" dataDxfId="1156">
      <calculatedColumnFormula>Majorette_Duo_MajoretteDuoTrio_Junior[[#This Row],[Judge 3
Tea Softić]]-R2</calculatedColumnFormula>
    </tableColumn>
    <tableColumn id="6" xr3:uid="{AE0C9955-7A27-40A6-9B78-06E36BBE7556}" name="J3 (Rank)" dataDxfId="1155">
      <calculatedColumnFormula>COUNTIFS(Majorette_Duo_MajoretteDuoTrio_Junior[Age
Division],Majorette_Duo_MajoretteDuoTrio_Junior[[#This Row],[Age
Division]],Majorette_Duo_MajoretteDuoTrio_Junior[Category],Majorette_Duo_MajoretteDuoTrio_Junior[[#This Row],[Category]],Majorette_Duo_MajoretteDuoTrio_Junior[J3 TOTAL],"&gt;"&amp;Majorette_Duo_MajoretteDuoTrio_Junior[[#This Row],[J3 TOTAL]])+1</calculatedColumnFormula>
    </tableColumn>
    <tableColumn id="18" xr3:uid="{17769145-14C6-485D-819C-E7CC68E73D56}" name="Judge 4_x000a_Bernard Barač" dataDxfId="1154"/>
    <tableColumn id="36" xr3:uid="{51FCA9EE-0AC2-4278-8221-9230E2CEFAD3}" name="J4 (-)" dataDxfId="1153"/>
    <tableColumn id="31" xr3:uid="{92F29A20-50D3-486A-8ABF-DA399256DDFE}" name="J4 TOTAL" dataDxfId="1152">
      <calculatedColumnFormula>Majorette_Duo_MajoretteDuoTrio_Junior[[#This Row],[Judge 4
Bernard Barač]]-V2</calculatedColumnFormula>
    </tableColumn>
    <tableColumn id="7" xr3:uid="{CCDCD7F5-F338-47F5-92A1-9F2E9932AE1D}" name="J4 (Rank)" dataDxfId="1151">
      <calculatedColumnFormula>COUNTIFS(Majorette_Duo_MajoretteDuoTrio_Junior[Age
Division],Majorette_Duo_MajoretteDuoTrio_Junior[[#This Row],[Age
Division]],Majorette_Duo_MajoretteDuoTrio_Junior[Category],Majorette_Duo_MajoretteDuoTrio_Junior[[#This Row],[Category]],Majorette_Duo_MajoretteDuoTrio_Junior[J4 TOTAL],"&gt;"&amp;Majorette_Duo_MajoretteDuoTrio_Junior[[#This Row],[J4 TOTAL]])+1</calculatedColumnFormula>
    </tableColumn>
    <tableColumn id="12" xr3:uid="{4066994F-33AD-4DD2-A82D-EF13757E1C99}" name="Judge 5_x000a_Barbara Novina" dataDxfId="1150"/>
    <tableColumn id="11" xr3:uid="{8722749B-AEB8-4207-9450-FCAAF6F8378F}" name="J5 (-)" dataDxfId="1149"/>
    <tableColumn id="10" xr3:uid="{65AA5423-A959-4C24-9CF2-59F02A19BC2D}" name="J5 TOTAL" dataDxfId="1148">
      <calculatedColumnFormula>Majorette_Duo_MajoretteDuoTrio_Junior[[#This Row],[Judge 5
Barbara Novina]]-Z2</calculatedColumnFormula>
    </tableColumn>
    <tableColumn id="2" xr3:uid="{CC72C482-3812-422C-BE6D-210B4F4179A3}" name="J5 (Rank)" dataDxfId="1147">
      <calculatedColumnFormula>COUNTIFS(Majorette_Duo_MajoretteDuoTrio_Junior[Age
Division],Majorette_Duo_MajoretteDuoTrio_Junior[[#This Row],[Age
Division]],Majorette_Duo_MajoretteDuoTrio_Junior[Category],Majorette_Duo_MajoretteDuoTrio_Junior[[#This Row],[Category]],Majorette_Duo_MajoretteDuoTrio_Junior[J5 TOTAL],"&gt;"&amp;Majorette_Duo_MajoretteDuoTrio_Junior[[#This Row],[J5 TOTAL]])+1</calculatedColumnFormula>
    </tableColumn>
    <tableColumn id="20" xr3:uid="{8D15F72D-ED29-4202-9FCA-A8717EA74957}" name="Total" dataDxfId="1146">
      <calculatedColumnFormula>SUM(Majorette_Duo_MajoretteDuoTrio_Junior[[#This Row],[J1 TOTAL]]+Majorette_Duo_MajoretteDuoTrio_Junior[[#This Row],[J2 TOTAL]]+Majorette_Duo_MajoretteDuoTrio_Junior[[#This Row],[J3 TOTAL]]+Majorette_Duo_MajoretteDuoTrio_Junior[[#This Row],[J4 TOTAL]])+Majorette_Duo_MajoretteDuoTrio_Junior[[#This Row],[J5 TOTAL]]</calculatedColumnFormula>
    </tableColumn>
    <tableColumn id="23" xr3:uid="{6ACEC00E-DFAA-4BFB-A962-1167C5995EE4}" name="Low" dataDxfId="1145">
      <calculatedColumnFormula>MIN(Majorette_Duo_MajoretteDuoTrio_Junior[[#This Row],[J1 TOTAL]],Majorette_Duo_MajoretteDuoTrio_Junior[[#This Row],[J2 TOTAL]],Majorette_Duo_MajoretteDuoTrio_Junior[[#This Row],[J3 TOTAL]],Majorette_Duo_MajoretteDuoTrio_Junior[[#This Row],[J4 TOTAL]],Majorette_Duo_MajoretteDuoTrio_Junior[[#This Row],[J5 TOTAL]],)</calculatedColumnFormula>
    </tableColumn>
    <tableColumn id="19" xr3:uid="{3A586291-7A24-409E-B366-75B8C54A43CD}" name="High" dataDxfId="1144">
      <calculatedColumnFormula>MAX(Majorette_Duo_MajoretteDuoTrio_Junior[[#This Row],[J1 TOTAL]],Majorette_Duo_MajoretteDuoTrio_Junior[[#This Row],[J2 TOTAL]],Majorette_Duo_MajoretteDuoTrio_Junior[[#This Row],[J3 TOTAL]],Majorette_Duo_MajoretteDuoTrio_Junior[[#This Row],[J4 TOTAL]],Majorette_Duo_MajoretteDuoTrio_Junior[[#This Row],[J5 TOTAL]],)</calculatedColumnFormula>
    </tableColumn>
    <tableColumn id="25" xr3:uid="{BA9B6EBA-AEF7-41DF-8994-F63BB1377093}" name="Final Total" dataDxfId="1143">
      <calculatedColumnFormula>SUM(Majorette_Duo_MajoretteDuoTrio_Junior[[#This Row],[Total]]-Majorette_Duo_MajoretteDuoTrio_Junior[[#This Row],[Low]]-Majorette_Duo_MajoretteDuoTrio_Junior[[#This Row],[High]])</calculatedColumnFormula>
    </tableColumn>
    <tableColumn id="24" xr3:uid="{9320FFDA-0804-4346-8754-7A126CA7AE73}" name="Avg" dataDxfId="1142">
      <calculatedColumnFormula>AVERAGE(I2,M2,Q2,U2,Y2)</calculatedColumnFormula>
    </tableColumn>
    <tableColumn id="22" xr3:uid="{2A07F5E0-9D0D-4A69-8CA4-251323A8FFCE}" name="FINAL SCORE" dataDxfId="1141">
      <calculatedColumnFormula>Majorette_Duo_MajoretteDuoTrio_Junior[[#This Row],[Final Total]]</calculatedColumnFormula>
    </tableColumn>
    <tableColumn id="27" xr3:uid="{8A84602C-98F2-4042-9D8F-25BF1CEF7837}" name="Rank" dataDxfId="1140">
      <calculatedColumnFormula>COUNTIFS(Majorette_Duo_MajoretteDuoTrio_Junior[Age
Division],Majorette_Duo_MajoretteDuoTrio_Junior[[#This Row],[Age
Division]],Majorette_Duo_MajoretteDuoTrio_Junior[Category],Majorette_Duo_MajoretteDuoTrio_Junior[[#This Row],[Category]],Majorette_Duo_MajoretteDuoTrio_Junior[FINAL SCORE],"&gt;"&amp;Majorette_Duo_MajoretteDuoTrio_Junior[[#This Row],[FINAL SCORE]])+1</calculatedColumnFormula>
    </tableColumn>
    <tableColumn id="39" xr3:uid="{88B35F94-D54D-477F-B9A1-6A48B685F2CE}" name="Category Type" dataDxfId="1139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03BEA7E-33FD-4FA4-AA14-B064748BFE60}" name="Majorette_Duo_MajoretteDuoTrio_Senior" displayName="Majorette_Duo_MajoretteDuoTrio_Senior" ref="A1:AJ2" totalsRowShown="0" headerRowDxfId="1100" dataDxfId="1099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CDAE1EAB-6989-45F8-B8F7-C22EAA2D1701}" name="Start No." dataDxfId="1136"/>
    <tableColumn id="8" xr3:uid="{476F7232-285B-45DE-82E9-D892D71CEBC6}" name="Lane" dataDxfId="1135"/>
    <tableColumn id="9" xr3:uid="{D547CD62-2406-44A6-9AE3-9D1BD060AD59}" name="Category" dataDxfId="1134"/>
    <tableColumn id="32" xr3:uid="{6187C35F-6874-429D-B33D-48605786F6B9}" name="Age_x000a_Division" dataDxfId="1133"/>
    <tableColumn id="40" xr3:uid="{6A80B39E-B6F6-4443-9769-22A2DD2335FF}" name="Level" dataDxfId="1132"/>
    <tableColumn id="4" xr3:uid="{3817A570-0C98-4BB5-A233-2228DE780BF5}" name="Athlete" dataDxfId="1131"/>
    <tableColumn id="38" xr3:uid="{4792F707-9E15-4B62-A9BF-004B1F9D1114}" name="Club" dataDxfId="1130"/>
    <tableColumn id="37" xr3:uid="{2BC6E2B9-FD6B-4A11-8656-8C984BF8ACAA}" name="Country" dataDxfId="1129"/>
    <tableColumn id="15" xr3:uid="{F8F7F71D-5E82-48A4-8C54-EBAF7F65B93C}" name="Judge 1_x000a_Tamara Beljak" dataDxfId="1128"/>
    <tableColumn id="33" xr3:uid="{0D1EBC74-703B-433E-9968-44373E4DCE06}" name="J1 (-)" dataDxfId="1127"/>
    <tableColumn id="26" xr3:uid="{87A665FB-305E-4726-8ABF-751FB0C21EFD}" name="J1 TOTAL" dataDxfId="1126">
      <calculatedColumnFormula>Majorette_Duo_MajoretteDuoTrio_Senior[[#This Row],[Judge 1
Tamara Beljak]]-J2</calculatedColumnFormula>
    </tableColumn>
    <tableColumn id="3" xr3:uid="{ABBB6709-A851-41B5-879D-1BAFF14371F7}" name="J1 (Rank)" dataDxfId="1125">
      <calculatedColumnFormula>COUNTIFS(Majorette_Duo_MajoretteDuoTrio_Senior[Age
Division],Majorette_Duo_MajoretteDuoTrio_Senior[[#This Row],[Age
Division]],Majorette_Duo_MajoretteDuoTrio_Senior[Category],Majorette_Duo_MajoretteDuoTrio_Senior[[#This Row],[Category]],Majorette_Duo_MajoretteDuoTrio_Senior[J1 TOTAL],"&gt;"&amp;Majorette_Duo_MajoretteDuoTrio_Senior[[#This Row],[J1 TOTAL]])+1</calculatedColumnFormula>
    </tableColumn>
    <tableColumn id="16" xr3:uid="{633EFD7B-C66B-4614-8BD4-147BB3969638}" name="Judge 2_x000a_Tihomir Bendelja" dataDxfId="1124"/>
    <tableColumn id="34" xr3:uid="{EC03D4F3-B2DF-4C1D-A5AF-057B9E51BE20}" name="J2 (-)" dataDxfId="1123"/>
    <tableColumn id="28" xr3:uid="{D8514D9A-55E4-4576-858B-5E3553C9C60E}" name="J2 TOTAL" dataDxfId="1122">
      <calculatedColumnFormula>Majorette_Duo_MajoretteDuoTrio_Senior[[#This Row],[Judge 2
Tihomir Bendelja]]-Majorette_Duo_MajoretteDuoTrio_Senior[[#This Row],[J2 (-)]]</calculatedColumnFormula>
    </tableColumn>
    <tableColumn id="5" xr3:uid="{3F1EE2EE-0763-48B4-8ED0-4D202C24FB7A}" name="J2 (Rank)" dataDxfId="1121">
      <calculatedColumnFormula>COUNTIFS(Majorette_Duo_MajoretteDuoTrio_Senior[Age
Division],Majorette_Duo_MajoretteDuoTrio_Senior[[#This Row],[Age
Division]],Majorette_Duo_MajoretteDuoTrio_Senior[Category],Majorette_Duo_MajoretteDuoTrio_Senior[[#This Row],[Category]],Majorette_Duo_MajoretteDuoTrio_Senior[J2 TOTAL],"&gt;"&amp;Majorette_Duo_MajoretteDuoTrio_Senior[[#This Row],[J2 TOTAL]])+1</calculatedColumnFormula>
    </tableColumn>
    <tableColumn id="17" xr3:uid="{5564AA8E-977E-46B5-B40F-DD9BE6B7E8B2}" name="Judge 3_x000a_Tea Softić" dataDxfId="1120"/>
    <tableColumn id="35" xr3:uid="{0B1950B8-948E-4015-9DFB-9463637353BE}" name="J3 (-)" dataDxfId="1119"/>
    <tableColumn id="30" xr3:uid="{289DB313-CD35-42F2-9098-FA8CAB4567CD}" name="J3 TOTAL" dataDxfId="1118">
      <calculatedColumnFormula>Majorette_Duo_MajoretteDuoTrio_Senior[[#This Row],[Judge 3
Tea Softić]]-R2</calculatedColumnFormula>
    </tableColumn>
    <tableColumn id="6" xr3:uid="{46D048E5-33EF-4046-83F9-19C622453CBB}" name="J3 (Rank)" dataDxfId="1117">
      <calculatedColumnFormula>COUNTIFS(Majorette_Duo_MajoretteDuoTrio_Senior[Age
Division],Majorette_Duo_MajoretteDuoTrio_Senior[[#This Row],[Age
Division]],Majorette_Duo_MajoretteDuoTrio_Senior[Category],Majorette_Duo_MajoretteDuoTrio_Senior[[#This Row],[Category]],Majorette_Duo_MajoretteDuoTrio_Senior[J3 TOTAL],"&gt;"&amp;Majorette_Duo_MajoretteDuoTrio_Senior[[#This Row],[J3 TOTAL]])+1</calculatedColumnFormula>
    </tableColumn>
    <tableColumn id="18" xr3:uid="{67790EBA-9FD3-4E8E-8FF9-DB7227E1B784}" name="Judge 4_x000a_Bernard Barač" dataDxfId="1116"/>
    <tableColumn id="36" xr3:uid="{35AC568C-023D-49C7-86FB-E19AD9A2BA9A}" name="J4 (-)" dataDxfId="1115"/>
    <tableColumn id="31" xr3:uid="{EBBA7EFD-6B39-4515-9217-E6B6A012ACE2}" name="J4 TOTAL" dataDxfId="1114">
      <calculatedColumnFormula>Majorette_Duo_MajoretteDuoTrio_Senior[[#This Row],[Judge 4
Bernard Barač]]-V2</calculatedColumnFormula>
    </tableColumn>
    <tableColumn id="7" xr3:uid="{1218F63B-C97E-42BA-9BAA-F346AF026665}" name="J4 (Rank)" dataDxfId="1113">
      <calculatedColumnFormula>COUNTIFS(Majorette_Duo_MajoretteDuoTrio_Senior[Age
Division],Majorette_Duo_MajoretteDuoTrio_Senior[[#This Row],[Age
Division]],Majorette_Duo_MajoretteDuoTrio_Senior[Category],Majorette_Duo_MajoretteDuoTrio_Senior[[#This Row],[Category]],Majorette_Duo_MajoretteDuoTrio_Senior[J4 TOTAL],"&gt;"&amp;Majorette_Duo_MajoretteDuoTrio_Senior[[#This Row],[J4 TOTAL]])+1</calculatedColumnFormula>
    </tableColumn>
    <tableColumn id="12" xr3:uid="{B4FD7986-2749-4D49-8AF4-E3DB25E05B64}" name="Judge 5_x000a_Barbara Novina" dataDxfId="1112"/>
    <tableColumn id="11" xr3:uid="{C64FFB9A-5185-4803-A2DB-C59B79787127}" name="J5 (-)" dataDxfId="1111"/>
    <tableColumn id="10" xr3:uid="{0EF39E39-91AE-4E53-BA28-FFABA8C9B8BF}" name="J5 TOTAL" dataDxfId="1110">
      <calculatedColumnFormula>Majorette_Duo_MajoretteDuoTrio_Senior[[#This Row],[Judge 5
Barbara Novina]]-Z2</calculatedColumnFormula>
    </tableColumn>
    <tableColumn id="2" xr3:uid="{8E40A95F-D50E-43D0-A7C9-CD5CDF3198DA}" name="J5 (Rank)" dataDxfId="1109">
      <calculatedColumnFormula>COUNTIFS(Majorette_Duo_MajoretteDuoTrio_Senior[Age
Division],Majorette_Duo_MajoretteDuoTrio_Senior[[#This Row],[Age
Division]],Majorette_Duo_MajoretteDuoTrio_Senior[Category],Majorette_Duo_MajoretteDuoTrio_Senior[[#This Row],[Category]],Majorette_Duo_MajoretteDuoTrio_Senior[J5 TOTAL],"&gt;"&amp;Majorette_Duo_MajoretteDuoTrio_Senior[[#This Row],[J5 TOTAL]])+1</calculatedColumnFormula>
    </tableColumn>
    <tableColumn id="20" xr3:uid="{6013CD9F-1ED6-4C88-8C24-E86A50FEEB3C}" name="Total" dataDxfId="1108">
      <calculatedColumnFormula>SUM(Majorette_Duo_MajoretteDuoTrio_Senior[[#This Row],[J1 TOTAL]]+Majorette_Duo_MajoretteDuoTrio_Senior[[#This Row],[J2 TOTAL]]+Majorette_Duo_MajoretteDuoTrio_Senior[[#This Row],[J3 TOTAL]]+Majorette_Duo_MajoretteDuoTrio_Senior[[#This Row],[J4 TOTAL]])+Majorette_Duo_MajoretteDuoTrio_Senior[[#This Row],[J5 TOTAL]]</calculatedColumnFormula>
    </tableColumn>
    <tableColumn id="23" xr3:uid="{B78B1792-0BD6-4581-BBC7-DF9BD15E7DAD}" name="Low" dataDxfId="1107"/>
    <tableColumn id="19" xr3:uid="{EF4A974C-F5EF-4A9F-A8BC-78742C54B599}" name="High" dataDxfId="1106"/>
    <tableColumn id="25" xr3:uid="{D372E4AC-6880-4338-AD59-FC4F7BEED148}" name="Final Total" dataDxfId="1105">
      <calculatedColumnFormula>SUM(Majorette_Duo_MajoretteDuoTrio_Senior[[#This Row],[Total]]-Majorette_Duo_MajoretteDuoTrio_Senior[[#This Row],[Low]]-Majorette_Duo_MajoretteDuoTrio_Senior[[#This Row],[High]])</calculatedColumnFormula>
    </tableColumn>
    <tableColumn id="24" xr3:uid="{2EC9175C-BF27-44A1-8AE8-06BB568EB6DA}" name="Avg" dataDxfId="1104">
      <calculatedColumnFormula>AVERAGE(I2,M2,Q2,U2,Y2)</calculatedColumnFormula>
    </tableColumn>
    <tableColumn id="22" xr3:uid="{CE76A75F-3CBF-4F31-8CEE-9B5F6CE32775}" name="FINAL SCORE" dataDxfId="1103">
      <calculatedColumnFormula>Majorette_Duo_MajoretteDuoTrio_Senior[[#This Row],[Final Total]]</calculatedColumnFormula>
    </tableColumn>
    <tableColumn id="27" xr3:uid="{CF111624-A88C-4902-906C-63CE3325C3D8}" name="Rank" dataDxfId="1102">
      <calculatedColumnFormula>COUNTIFS(Majorette_Duo_MajoretteDuoTrio_Senior[Age
Division],Majorette_Duo_MajoretteDuoTrio_Senior[[#This Row],[Age
Division]],Majorette_Duo_MajoretteDuoTrio_Senior[Category],Majorette_Duo_MajoretteDuoTrio_Senior[[#This Row],[Category]],Majorette_Duo_MajoretteDuoTrio_Senior[FINAL SCORE],"&gt;"&amp;Majorette_Duo_MajoretteDuoTrio_Senior[[#This Row],[FINAL SCORE]])+1</calculatedColumnFormula>
    </tableColumn>
    <tableColumn id="39" xr3:uid="{C534D10C-D9EB-4B1A-91E5-DB713E626340}" name="Category Type" dataDxfId="110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3D862AF-0668-4E41-87A0-A3049D0A470D}" name="Majorette_Duo_AccessoriesDuo_Children" displayName="Majorette_Duo_AccessoriesDuo_Children" ref="A1:AJ3" totalsRowShown="0" headerRowDxfId="1062" dataDxfId="1061">
  <autoFilter ref="A1:AJ3" xr:uid="{042C9DAD-4CB0-4D2A-8C87-3D9863992DF4}"/>
  <sortState xmlns:xlrd2="http://schemas.microsoft.com/office/spreadsheetml/2017/richdata2" ref="A2:AJ3">
    <sortCondition ref="AI1:AI3"/>
  </sortState>
  <tableColumns count="36">
    <tableColumn id="1" xr3:uid="{8EC97BA1-4B9C-422F-B0C8-E15BA1777186}" name="Start No." dataDxfId="1098"/>
    <tableColumn id="8" xr3:uid="{68371194-9FEA-40DB-90D9-639D31795BE9}" name="Lane" dataDxfId="1097"/>
    <tableColumn id="9" xr3:uid="{893206D6-CF3E-4905-B7E4-365DA73F41C6}" name="Category" dataDxfId="1096"/>
    <tableColumn id="32" xr3:uid="{64241A61-C7C5-491E-AE5D-3A606B23A6D1}" name="Age_x000a_Division" dataDxfId="1095"/>
    <tableColumn id="40" xr3:uid="{BC9E6A75-FBA2-40D4-B1EF-C350F5C9A7DB}" name="Level" dataDxfId="1094"/>
    <tableColumn id="4" xr3:uid="{C72B594D-EFAF-4214-A463-F97F9224DE0A}" name="Athlete" dataDxfId="1093"/>
    <tableColumn id="38" xr3:uid="{53ECF5B4-6175-4CD1-BFE7-6934D1E5EA42}" name="Club" dataDxfId="1092"/>
    <tableColumn id="37" xr3:uid="{83444AAB-D955-47BE-AA4C-93AD0430DC72}" name="Country" dataDxfId="1091"/>
    <tableColumn id="15" xr3:uid="{19C3A1E7-61DD-4687-A4A2-2E3919627FBD}" name="Judge 1_x000a_Tamara Beljak" dataDxfId="1090"/>
    <tableColumn id="33" xr3:uid="{CAC6ED0F-3854-4C00-80D3-F7F640C9406F}" name="J1 (-)" dataDxfId="1089"/>
    <tableColumn id="26" xr3:uid="{C7A47858-BD0A-4E5D-92F2-1CB7E7A8C6AB}" name="J1 TOTAL" dataDxfId="1088">
      <calculatedColumnFormula>Majorette_Duo_AccessoriesDuo_Children[[#This Row],[Judge 1
Tamara Beljak]]-J2</calculatedColumnFormula>
    </tableColumn>
    <tableColumn id="3" xr3:uid="{E1669744-FC93-4326-8B1E-A7AA52248589}" name="J1 (Rank)" dataDxfId="1087">
      <calculatedColumnFormula>COUNTIFS(Majorette_Duo_AccessoriesDuo_Children[Age
Division],Majorette_Duo_AccessoriesDuo_Children[[#This Row],[Age
Division]],Majorette_Duo_AccessoriesDuo_Children[Category],Majorette_Duo_AccessoriesDuo_Children[[#This Row],[Category]],Majorette_Duo_AccessoriesDuo_Children[J1 TOTAL],"&gt;"&amp;Majorette_Duo_AccessoriesDuo_Children[[#This Row],[J1 TOTAL]])+1</calculatedColumnFormula>
    </tableColumn>
    <tableColumn id="16" xr3:uid="{CEC8D856-B759-492F-B145-368FE8B10482}" name="Judge 2_x000a_Tihomir Bendelja" dataDxfId="1086"/>
    <tableColumn id="34" xr3:uid="{24CA46D1-E74D-4051-8B77-3619CC7052EC}" name="J2 (-)" dataDxfId="1085"/>
    <tableColumn id="28" xr3:uid="{BEA1C3AD-023B-40CC-BEF3-8A56A5E96101}" name="J2 TOTAL" dataDxfId="1084">
      <calculatedColumnFormula>Majorette_Duo_AccessoriesDuo_Children[[#This Row],[Judge 2
Tihomir Bendelja]]-Majorette_Duo_AccessoriesDuo_Children[[#This Row],[J2 (-)]]</calculatedColumnFormula>
    </tableColumn>
    <tableColumn id="5" xr3:uid="{62CDEEE8-B39A-4D51-80EE-F873BCD279B6}" name="J2 (Rank)" dataDxfId="1083">
      <calculatedColumnFormula>COUNTIFS(Majorette_Duo_AccessoriesDuo_Children[Age
Division],Majorette_Duo_AccessoriesDuo_Children[[#This Row],[Age
Division]],Majorette_Duo_AccessoriesDuo_Children[Category],Majorette_Duo_AccessoriesDuo_Children[[#This Row],[Category]],Majorette_Duo_AccessoriesDuo_Children[J2 TOTAL],"&gt;"&amp;Majorette_Duo_AccessoriesDuo_Children[[#This Row],[J2 TOTAL]])+1</calculatedColumnFormula>
    </tableColumn>
    <tableColumn id="17" xr3:uid="{B946219D-76C3-4B62-B52D-518F90B4E3C0}" name="Judge 3_x000a_Tea Softić" dataDxfId="1082"/>
    <tableColumn id="35" xr3:uid="{E718AE97-C044-41AF-85AE-1698665DDD0B}" name="J3 (-)" dataDxfId="1081"/>
    <tableColumn id="30" xr3:uid="{80E7CE52-AEF1-4CAE-A791-ADB0B10D40DA}" name="J3 TOTAL" dataDxfId="1080">
      <calculatedColumnFormula>Majorette_Duo_AccessoriesDuo_Children[[#This Row],[Judge 3
Tea Softić]]-R2</calculatedColumnFormula>
    </tableColumn>
    <tableColumn id="6" xr3:uid="{27092BAD-076D-4EF4-BAB1-ADFFA3535C80}" name="J3 (Rank)" dataDxfId="1079">
      <calculatedColumnFormula>COUNTIFS(Majorette_Duo_AccessoriesDuo_Children[Age
Division],Majorette_Duo_AccessoriesDuo_Children[[#This Row],[Age
Division]],Majorette_Duo_AccessoriesDuo_Children[Category],Majorette_Duo_AccessoriesDuo_Children[[#This Row],[Category]],Majorette_Duo_AccessoriesDuo_Children[J3 TOTAL],"&gt;"&amp;Majorette_Duo_AccessoriesDuo_Children[[#This Row],[J3 TOTAL]])+1</calculatedColumnFormula>
    </tableColumn>
    <tableColumn id="18" xr3:uid="{15E46864-EF2B-4147-AB67-868746D01EDD}" name="Judge 4_x000a_Bernard Barač" dataDxfId="1078"/>
    <tableColumn id="36" xr3:uid="{C29CCA2B-EC1F-4B2B-AF41-0D7AFD027D05}" name="J4 (-)" dataDxfId="1077"/>
    <tableColumn id="31" xr3:uid="{29D49D36-229A-4827-AD40-DFBD3A4C3AE8}" name="J4 TOTAL" dataDxfId="1076">
      <calculatedColumnFormula>Majorette_Duo_AccessoriesDuo_Children[[#This Row],[Judge 4
Bernard Barač]]-V2</calculatedColumnFormula>
    </tableColumn>
    <tableColumn id="7" xr3:uid="{749246D1-D3DE-4F9A-893D-C21DBE87A52C}" name="J4 (Rank)" dataDxfId="1075">
      <calculatedColumnFormula>COUNTIFS(Majorette_Duo_AccessoriesDuo_Children[Age
Division],Majorette_Duo_AccessoriesDuo_Children[[#This Row],[Age
Division]],Majorette_Duo_AccessoriesDuo_Children[Category],Majorette_Duo_AccessoriesDuo_Children[[#This Row],[Category]],Majorette_Duo_AccessoriesDuo_Children[J4 TOTAL],"&gt;"&amp;Majorette_Duo_AccessoriesDuo_Children[[#This Row],[J4 TOTAL]])+1</calculatedColumnFormula>
    </tableColumn>
    <tableColumn id="12" xr3:uid="{3F6E7477-1064-4FCC-AA2E-B1789B3E04D1}" name="Judge 5_x000a_Barbara Novina" dataDxfId="1074"/>
    <tableColumn id="11" xr3:uid="{CF9E6A52-B806-4209-9E69-2D7D84D62A00}" name="J5 (-)" dataDxfId="1073"/>
    <tableColumn id="10" xr3:uid="{E9101489-22D5-467D-96DD-B29325EB40E1}" name="J5 TOTAL" dataDxfId="1072">
      <calculatedColumnFormula>Majorette_Duo_AccessoriesDuo_Children[[#This Row],[Judge 5
Barbara Novina]]-Z2</calculatedColumnFormula>
    </tableColumn>
    <tableColumn id="2" xr3:uid="{B406E635-E66B-488D-AB86-11AB24FCE711}" name="J5 (Rank)" dataDxfId="1071">
      <calculatedColumnFormula>COUNTIFS(Majorette_Duo_AccessoriesDuo_Children[Age
Division],Majorette_Duo_AccessoriesDuo_Children[[#This Row],[Age
Division]],Majorette_Duo_AccessoriesDuo_Children[Category],Majorette_Duo_AccessoriesDuo_Children[[#This Row],[Category]],Majorette_Duo_AccessoriesDuo_Children[J5 TOTAL],"&gt;"&amp;Majorette_Duo_AccessoriesDuo_Children[[#This Row],[J5 TOTAL]])+1</calculatedColumnFormula>
    </tableColumn>
    <tableColumn id="20" xr3:uid="{52924693-5208-4B98-8386-9AD79FD44DA7}" name="Total" dataDxfId="1070">
      <calculatedColumnFormula>SUM(Majorette_Duo_AccessoriesDuo_Children[[#This Row],[J1 TOTAL]]+Majorette_Duo_AccessoriesDuo_Children[[#This Row],[J2 TOTAL]]+Majorette_Duo_AccessoriesDuo_Children[[#This Row],[J3 TOTAL]]+Majorette_Duo_AccessoriesDuo_Children[[#This Row],[J4 TOTAL]])+Majorette_Duo_AccessoriesDuo_Children[[#This Row],[J5 TOTAL]]</calculatedColumnFormula>
    </tableColumn>
    <tableColumn id="23" xr3:uid="{2EC70A03-B4FC-42DB-A8F9-421E18163019}" name="Low" dataDxfId="1069"/>
    <tableColumn id="19" xr3:uid="{86BDA75F-3821-4438-9590-1FF5F40DEDC3}" name="High" dataDxfId="1068"/>
    <tableColumn id="25" xr3:uid="{DAA4B011-4950-4572-85DD-3B9ECA2FE979}" name="Final Total" dataDxfId="1067">
      <calculatedColumnFormula>SUM(Majorette_Duo_AccessoriesDuo_Children[[#This Row],[Total]]-Majorette_Duo_AccessoriesDuo_Children[[#This Row],[Low]]-Majorette_Duo_AccessoriesDuo_Children[[#This Row],[High]])</calculatedColumnFormula>
    </tableColumn>
    <tableColumn id="24" xr3:uid="{456553FA-A20B-4E36-A9CA-FA67D1C87012}" name="Avg" dataDxfId="1066">
      <calculatedColumnFormula>AVERAGE(I2,M2,Q2,U2,Y2)</calculatedColumnFormula>
    </tableColumn>
    <tableColumn id="22" xr3:uid="{6FC36808-36CD-4FD4-BF52-3A2FEDD21004}" name="FINAL SCORE" dataDxfId="1065">
      <calculatedColumnFormula>Majorette_Duo_AccessoriesDuo_Children[[#This Row],[Final Total]]</calculatedColumnFormula>
    </tableColumn>
    <tableColumn id="27" xr3:uid="{3E95DB0A-2175-4BF1-921B-7EEA4026388A}" name="Rank" dataDxfId="1064">
      <calculatedColumnFormula>COUNTIFS(Majorette_Duo_AccessoriesDuo_Children[Age
Division],Majorette_Duo_AccessoriesDuo_Children[[#This Row],[Age
Division]],Majorette_Duo_AccessoriesDuo_Children[Category],Majorette_Duo_AccessoriesDuo_Children[[#This Row],[Category]],Majorette_Duo_AccessoriesDuo_Children[FINAL SCORE],"&gt;"&amp;Majorette_Duo_AccessoriesDuo_Children[[#This Row],[FINAL SCORE]])+1</calculatedColumnFormula>
    </tableColumn>
    <tableColumn id="39" xr3:uid="{FBA02F79-DA4B-4848-8730-CE11FB649718}" name="Category Type" dataDxfId="106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6F47735-7CF3-4E39-81B9-354EF21C9F08}" name="Majorette_Duo_AccessoriesDuo_Cadet" displayName="Majorette_Duo_AccessoriesDuo_Cadet" ref="A1:AJ8" totalsRowShown="0" headerRowDxfId="1024" dataDxfId="1023">
  <autoFilter ref="A1:AJ8" xr:uid="{042C9DAD-4CB0-4D2A-8C87-3D9863992DF4}"/>
  <sortState xmlns:xlrd2="http://schemas.microsoft.com/office/spreadsheetml/2017/richdata2" ref="A2:AJ8">
    <sortCondition ref="AI1:AI8"/>
  </sortState>
  <tableColumns count="36">
    <tableColumn id="1" xr3:uid="{66B1955B-AB51-4855-A44D-4A834A1482CC}" name="Start No." dataDxfId="1060"/>
    <tableColumn id="8" xr3:uid="{F7D9D6AC-6C55-4CF9-8CD6-A20A7EBA6AC0}" name="Lane" dataDxfId="1059"/>
    <tableColumn id="9" xr3:uid="{081357B9-4EEB-4892-BF26-2353112253ED}" name="Category" dataDxfId="1058"/>
    <tableColumn id="32" xr3:uid="{D34631AC-A7CC-4ED2-B4C9-51C3D53A1D56}" name="Age_x000a_Division" dataDxfId="1057"/>
    <tableColumn id="40" xr3:uid="{E1AF1117-9E55-4860-86EF-AB4B07D09C6B}" name="Level" dataDxfId="1056"/>
    <tableColumn id="4" xr3:uid="{D0CA6AC7-F3B5-4C8F-B589-9BFF9ECCB242}" name="Athlete" dataDxfId="1055"/>
    <tableColumn id="38" xr3:uid="{584337B5-F2D2-4B91-BC11-05036A0F5375}" name="Club" dataDxfId="1054"/>
    <tableColumn id="37" xr3:uid="{47019588-F02A-42AD-A437-96E9ABE960F7}" name="Country" dataDxfId="1053"/>
    <tableColumn id="15" xr3:uid="{6FAE4399-CA45-491A-B6C9-E3E922E6756F}" name="Judge 1_x000a_Tamara Beljak" dataDxfId="1052"/>
    <tableColumn id="33" xr3:uid="{2C8C34B4-D172-44B7-A8A2-76BD9091941A}" name="J1 (-)" dataDxfId="1051"/>
    <tableColumn id="26" xr3:uid="{7750520A-61C9-42EF-BF1A-EB7A28BD12B4}" name="J1 TOTAL" dataDxfId="1050">
      <calculatedColumnFormula>Majorette_Duo_AccessoriesDuo_Cadet[[#This Row],[Judge 1
Tamara Beljak]]-J2</calculatedColumnFormula>
    </tableColumn>
    <tableColumn id="3" xr3:uid="{992878D1-ED91-4D91-806F-4F038BC9D858}" name="J1 (Rank)" dataDxfId="1049">
      <calculatedColumnFormula>COUNTIFS(Majorette_Duo_AccessoriesDuo_Cadet[Age
Division],Majorette_Duo_AccessoriesDuo_Cadet[[#This Row],[Age
Division]],Majorette_Duo_AccessoriesDuo_Cadet[Category],Majorette_Duo_AccessoriesDuo_Cadet[[#This Row],[Category]],Majorette_Duo_AccessoriesDuo_Cadet[J1 TOTAL],"&gt;"&amp;Majorette_Duo_AccessoriesDuo_Cadet[[#This Row],[J1 TOTAL]])+1</calculatedColumnFormula>
    </tableColumn>
    <tableColumn id="16" xr3:uid="{D5EB11CE-065C-4666-8C2A-1E2EA2885FA4}" name="Judge 2_x000a_Tihomir Bendelja" dataDxfId="1048"/>
    <tableColumn id="34" xr3:uid="{6397086F-015A-4C09-9247-95B167DB39EC}" name="J2 (-)" dataDxfId="1047"/>
    <tableColumn id="28" xr3:uid="{F4C8931A-7D49-4D35-BEC0-D42AD621BCE6}" name="J2 TOTAL" dataDxfId="1046">
      <calculatedColumnFormula>Majorette_Duo_AccessoriesDuo_Cadet[[#This Row],[Judge 2
Tihomir Bendelja]]-Majorette_Duo_AccessoriesDuo_Cadet[[#This Row],[J2 (-)]]</calculatedColumnFormula>
    </tableColumn>
    <tableColumn id="5" xr3:uid="{23B0F07E-FA77-42BE-9B86-B9D5BB03EBFC}" name="J2 (Rank)" dataDxfId="1045">
      <calculatedColumnFormula>COUNTIFS(Majorette_Duo_AccessoriesDuo_Cadet[Age
Division],Majorette_Duo_AccessoriesDuo_Cadet[[#This Row],[Age
Division]],Majorette_Duo_AccessoriesDuo_Cadet[Category],Majorette_Duo_AccessoriesDuo_Cadet[[#This Row],[Category]],Majorette_Duo_AccessoriesDuo_Cadet[J2 TOTAL],"&gt;"&amp;Majorette_Duo_AccessoriesDuo_Cadet[[#This Row],[J2 TOTAL]])+1</calculatedColumnFormula>
    </tableColumn>
    <tableColumn id="17" xr3:uid="{E160A2F3-5493-438E-8C14-67CF4F9CFD62}" name="Judge 3_x000a_Tea Softić" dataDxfId="1044"/>
    <tableColumn id="35" xr3:uid="{66F0C523-B676-4FE7-91FC-CE69BD75BE32}" name="J3 (-)" dataDxfId="1043"/>
    <tableColumn id="30" xr3:uid="{6C3E1C93-C705-47B8-A87D-17F170BEA59B}" name="J3 TOTAL" dataDxfId="1042">
      <calculatedColumnFormula>Majorette_Duo_AccessoriesDuo_Cadet[[#This Row],[Judge 3
Tea Softić]]-R2</calculatedColumnFormula>
    </tableColumn>
    <tableColumn id="6" xr3:uid="{3F28951C-CB8D-40ED-B495-7914821B35CC}" name="J3 (Rank)" dataDxfId="1041">
      <calculatedColumnFormula>COUNTIFS(Majorette_Duo_AccessoriesDuo_Cadet[Age
Division],Majorette_Duo_AccessoriesDuo_Cadet[[#This Row],[Age
Division]],Majorette_Duo_AccessoriesDuo_Cadet[Category],Majorette_Duo_AccessoriesDuo_Cadet[[#This Row],[Category]],Majorette_Duo_AccessoriesDuo_Cadet[J3 TOTAL],"&gt;"&amp;Majorette_Duo_AccessoriesDuo_Cadet[[#This Row],[J3 TOTAL]])+1</calculatedColumnFormula>
    </tableColumn>
    <tableColumn id="18" xr3:uid="{1A5334B7-4BDF-45EB-B5FD-9605E6009495}" name="Judge 4_x000a_Bernard Barač" dataDxfId="1040"/>
    <tableColumn id="36" xr3:uid="{28295143-3A0D-40BA-985D-824BB1752A5B}" name="J4 (-)" dataDxfId="1039"/>
    <tableColumn id="31" xr3:uid="{E58552FD-D0F7-4F94-8223-0C98CADA617C}" name="J4 TOTAL" dataDxfId="1038">
      <calculatedColumnFormula>Majorette_Duo_AccessoriesDuo_Cadet[[#This Row],[Judge 4
Bernard Barač]]-V2</calculatedColumnFormula>
    </tableColumn>
    <tableColumn id="7" xr3:uid="{5763F818-B677-441B-A2F3-0FB823AB9020}" name="J4 (Rank)" dataDxfId="1037">
      <calculatedColumnFormula>COUNTIFS(Majorette_Duo_AccessoriesDuo_Cadet[Age
Division],Majorette_Duo_AccessoriesDuo_Cadet[[#This Row],[Age
Division]],Majorette_Duo_AccessoriesDuo_Cadet[Category],Majorette_Duo_AccessoriesDuo_Cadet[[#This Row],[Category]],Majorette_Duo_AccessoriesDuo_Cadet[J4 TOTAL],"&gt;"&amp;Majorette_Duo_AccessoriesDuo_Cadet[[#This Row],[J4 TOTAL]])+1</calculatedColumnFormula>
    </tableColumn>
    <tableColumn id="12" xr3:uid="{28474210-0326-4E70-AC0B-CA6385B6A05A}" name="Judge 5_x000a_Barbara Novina" dataDxfId="1036"/>
    <tableColumn id="11" xr3:uid="{4190F6A8-509F-4E21-ABCD-14899BC0F0D7}" name="J5 (-)" dataDxfId="1035"/>
    <tableColumn id="10" xr3:uid="{6722F6EB-ACAB-4689-8B42-9D241FED6480}" name="J5 TOTAL" dataDxfId="1034">
      <calculatedColumnFormula>Majorette_Duo_AccessoriesDuo_Cadet[[#This Row],[Judge 5
Barbara Novina]]-Z2</calculatedColumnFormula>
    </tableColumn>
    <tableColumn id="2" xr3:uid="{2CD92F09-F2E0-44FA-822F-3980E94546CE}" name="J5 (Rank)" dataDxfId="1033">
      <calculatedColumnFormula>COUNTIFS(Majorette_Duo_AccessoriesDuo_Cadet[Age
Division],Majorette_Duo_AccessoriesDuo_Cadet[[#This Row],[Age
Division]],Majorette_Duo_AccessoriesDuo_Cadet[Category],Majorette_Duo_AccessoriesDuo_Cadet[[#This Row],[Category]],Majorette_Duo_AccessoriesDuo_Cadet[J5 TOTAL],"&gt;"&amp;Majorette_Duo_AccessoriesDuo_Cadet[[#This Row],[J5 TOTAL]])+1</calculatedColumnFormula>
    </tableColumn>
    <tableColumn id="20" xr3:uid="{4DD543BA-FBCE-4A12-9CE1-21A3EF3DCF9E}" name="Total" dataDxfId="1032">
      <calculatedColumnFormula>SUM(Majorette_Duo_AccessoriesDuo_Cadet[[#This Row],[J1 TOTAL]]+Majorette_Duo_AccessoriesDuo_Cadet[[#This Row],[J2 TOTAL]]+Majorette_Duo_AccessoriesDuo_Cadet[[#This Row],[J3 TOTAL]]+Majorette_Duo_AccessoriesDuo_Cadet[[#This Row],[J4 TOTAL]])+Majorette_Duo_AccessoriesDuo_Cadet[[#This Row],[J5 TOTAL]]</calculatedColumnFormula>
    </tableColumn>
    <tableColumn id="23" xr3:uid="{15FDC661-AAA3-4169-9717-4C5C7EA594D7}" name="Low" dataDxfId="1031"/>
    <tableColumn id="19" xr3:uid="{29A69C02-ADF6-41FF-964D-FE4F3E21BE11}" name="High" dataDxfId="1030"/>
    <tableColumn id="25" xr3:uid="{FA0FDF82-3AE8-4BC6-801E-C0D90254F264}" name="Final Total" dataDxfId="1029">
      <calculatedColumnFormula>SUM(Majorette_Duo_AccessoriesDuo_Cadet[[#This Row],[Total]]-Majorette_Duo_AccessoriesDuo_Cadet[[#This Row],[Low]]-Majorette_Duo_AccessoriesDuo_Cadet[[#This Row],[High]])</calculatedColumnFormula>
    </tableColumn>
    <tableColumn id="24" xr3:uid="{01AC7619-9ABF-4BBA-8AF3-D8710BF232ED}" name="Avg" dataDxfId="1028">
      <calculatedColumnFormula>AVERAGE(I2,M2,Q2,U2,Y2)</calculatedColumnFormula>
    </tableColumn>
    <tableColumn id="22" xr3:uid="{621BC50B-134B-451C-8A7E-CF7E016E29D3}" name="FINAL SCORE" dataDxfId="1027">
      <calculatedColumnFormula>Majorette_Duo_AccessoriesDuo_Cadet[[#This Row],[Final Total]]</calculatedColumnFormula>
    </tableColumn>
    <tableColumn id="27" xr3:uid="{CF56632D-6C8A-4126-889B-F971C01E1D3E}" name="Rank" dataDxfId="1026">
      <calculatedColumnFormula>COUNTIFS(Majorette_Duo_AccessoriesDuo_Cadet[Age
Division],Majorette_Duo_AccessoriesDuo_Cadet[[#This Row],[Age
Division]],Majorette_Duo_AccessoriesDuo_Cadet[Category],Majorette_Duo_AccessoriesDuo_Cadet[[#This Row],[Category]],Majorette_Duo_AccessoriesDuo_Cadet[FINAL SCORE],"&gt;"&amp;Majorette_Duo_AccessoriesDuo_Cadet[[#This Row],[FINAL SCORE]])+1</calculatedColumnFormula>
    </tableColumn>
    <tableColumn id="39" xr3:uid="{C03FE0F6-41C2-4F07-8BD6-5F3A24F799B5}" name="Category Type" dataDxfId="102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F19B4E5-C7F3-4153-A9BC-5DB855179CEA}" name="Majorette_Duo_AccessoriesDuo_Junior" displayName="Majorette_Duo_AccessoriesDuo_Junior" ref="A1:AJ5" totalsRowShown="0" headerRowDxfId="986" dataDxfId="985">
  <autoFilter ref="A1:AJ5" xr:uid="{042C9DAD-4CB0-4D2A-8C87-3D9863992DF4}"/>
  <sortState xmlns:xlrd2="http://schemas.microsoft.com/office/spreadsheetml/2017/richdata2" ref="A2:AJ5">
    <sortCondition ref="AI1:AI5"/>
  </sortState>
  <tableColumns count="36">
    <tableColumn id="1" xr3:uid="{CC07707A-A7B0-40CC-90A4-48400A340F18}" name="Start No." dataDxfId="1022"/>
    <tableColumn id="8" xr3:uid="{563EC8C4-5E03-486E-92A6-8534D0D6E4BD}" name="Lane" dataDxfId="1021"/>
    <tableColumn id="9" xr3:uid="{F8EAE089-98ED-4FAC-8B1F-725D6401FD24}" name="Category" dataDxfId="1020"/>
    <tableColumn id="32" xr3:uid="{5F86F1B3-F692-4414-AF7C-529E07361C9B}" name="Age_x000a_Division" dataDxfId="1019"/>
    <tableColumn id="40" xr3:uid="{0E4C110C-1E2E-464D-9BB2-477A0129DC8F}" name="Level" dataDxfId="1018"/>
    <tableColumn id="4" xr3:uid="{EA5C35A9-3094-4218-9444-8C77FD67C1B0}" name="Athlete" dataDxfId="1017"/>
    <tableColumn id="38" xr3:uid="{3B94C7CB-EAF1-4E4C-98C2-A6C01E0D5B5B}" name="Club" dataDxfId="1016"/>
    <tableColumn id="37" xr3:uid="{254DE8D2-761A-4199-8CCF-CA09F0497FDE}" name="Country" dataDxfId="1015"/>
    <tableColumn id="15" xr3:uid="{32E62A17-AD02-42A8-A6A8-39B2580E385B}" name="Judge 1_x000a_Tamara Beljak" dataDxfId="1014"/>
    <tableColumn id="33" xr3:uid="{7BC9E985-967C-4FBF-9A42-A5546C60F88B}" name="J1 (-)" dataDxfId="1013"/>
    <tableColumn id="26" xr3:uid="{68E30D8B-37D3-4088-8518-EAA47ECA3AA8}" name="J1 TOTAL" dataDxfId="1012">
      <calculatedColumnFormula>Majorette_Duo_AccessoriesDuo_Junior[[#This Row],[Judge 1
Tamara Beljak]]-J2</calculatedColumnFormula>
    </tableColumn>
    <tableColumn id="3" xr3:uid="{6EA85DDA-A3FA-4DE8-BA8C-D1C073BDB4AF}" name="J1 (Rank)" dataDxfId="1011">
      <calculatedColumnFormula>COUNTIFS(Majorette_Duo_AccessoriesDuo_Junior[Age
Division],Majorette_Duo_AccessoriesDuo_Junior[[#This Row],[Age
Division]],Majorette_Duo_AccessoriesDuo_Junior[Category],Majorette_Duo_AccessoriesDuo_Junior[[#This Row],[Category]],Majorette_Duo_AccessoriesDuo_Junior[J1 TOTAL],"&gt;"&amp;Majorette_Duo_AccessoriesDuo_Junior[[#This Row],[J1 TOTAL]])+1</calculatedColumnFormula>
    </tableColumn>
    <tableColumn id="16" xr3:uid="{57B50269-5133-4449-B599-7A1E25AD5C6E}" name="Judge 2_x000a_Tihomir Bendelja" dataDxfId="1010"/>
    <tableColumn id="34" xr3:uid="{968EECD1-50B8-4886-B281-B0A1481D6128}" name="J2 (-)" dataDxfId="1009"/>
    <tableColumn id="28" xr3:uid="{C6520204-603C-4F38-AC36-65955246FF00}" name="J2 TOTAL" dataDxfId="1008">
      <calculatedColumnFormula>Majorette_Duo_AccessoriesDuo_Junior[[#This Row],[Judge 2
Tihomir Bendelja]]-Majorette_Duo_AccessoriesDuo_Junior[[#This Row],[J2 (-)]]</calculatedColumnFormula>
    </tableColumn>
    <tableColumn id="5" xr3:uid="{CAE925D3-7320-48FF-B46A-1327E27EDB38}" name="J2 (Rank)" dataDxfId="1007">
      <calculatedColumnFormula>COUNTIFS(Majorette_Duo_AccessoriesDuo_Junior[Age
Division],Majorette_Duo_AccessoriesDuo_Junior[[#This Row],[Age
Division]],Majorette_Duo_AccessoriesDuo_Junior[Category],Majorette_Duo_AccessoriesDuo_Junior[[#This Row],[Category]],Majorette_Duo_AccessoriesDuo_Junior[J2 TOTAL],"&gt;"&amp;Majorette_Duo_AccessoriesDuo_Junior[[#This Row],[J2 TOTAL]])+1</calculatedColumnFormula>
    </tableColumn>
    <tableColumn id="17" xr3:uid="{F98E00CA-5331-427B-A938-37DD8638E9F6}" name="Judge 3_x000a_Tea Softić" dataDxfId="1006"/>
    <tableColumn id="35" xr3:uid="{C98DB2DB-C27E-48B3-89E0-7A6C78B75FED}" name="J3 (-)" dataDxfId="1005"/>
    <tableColumn id="30" xr3:uid="{A6F1F907-A91A-461D-822E-4585008672E5}" name="J3 TOTAL" dataDxfId="1004">
      <calculatedColumnFormula>Majorette_Duo_AccessoriesDuo_Junior[[#This Row],[Judge 3
Tea Softić]]-R2</calculatedColumnFormula>
    </tableColumn>
    <tableColumn id="6" xr3:uid="{04AAA037-7FF5-41F9-A443-EFA521B80E8C}" name="J3 (Rank)" dataDxfId="1003">
      <calculatedColumnFormula>COUNTIFS(Majorette_Duo_AccessoriesDuo_Junior[Age
Division],Majorette_Duo_AccessoriesDuo_Junior[[#This Row],[Age
Division]],Majorette_Duo_AccessoriesDuo_Junior[Category],Majorette_Duo_AccessoriesDuo_Junior[[#This Row],[Category]],Majorette_Duo_AccessoriesDuo_Junior[J3 TOTAL],"&gt;"&amp;Majorette_Duo_AccessoriesDuo_Junior[[#This Row],[J3 TOTAL]])+1</calculatedColumnFormula>
    </tableColumn>
    <tableColumn id="18" xr3:uid="{805E0CDF-6BA7-436D-9551-8389DE0C19E8}" name="Judge 4_x000a_Bernard Barač" dataDxfId="1002"/>
    <tableColumn id="36" xr3:uid="{00B3AC9C-E172-42E8-8C51-8B9B728E5B24}" name="J4 (-)" dataDxfId="1001"/>
    <tableColumn id="31" xr3:uid="{04FB7297-2303-43F8-B483-28ABF08463A1}" name="J4 TOTAL" dataDxfId="1000">
      <calculatedColumnFormula>Majorette_Duo_AccessoriesDuo_Junior[[#This Row],[Judge 4
Bernard Barač]]-V2</calculatedColumnFormula>
    </tableColumn>
    <tableColumn id="7" xr3:uid="{AD39A4B4-5AF2-4046-B2D7-BB13D621FCD7}" name="J4 (Rank)" dataDxfId="999">
      <calculatedColumnFormula>COUNTIFS(Majorette_Duo_AccessoriesDuo_Junior[Age
Division],Majorette_Duo_AccessoriesDuo_Junior[[#This Row],[Age
Division]],Majorette_Duo_AccessoriesDuo_Junior[Category],Majorette_Duo_AccessoriesDuo_Junior[[#This Row],[Category]],Majorette_Duo_AccessoriesDuo_Junior[J4 TOTAL],"&gt;"&amp;Majorette_Duo_AccessoriesDuo_Junior[[#This Row],[J4 TOTAL]])+1</calculatedColumnFormula>
    </tableColumn>
    <tableColumn id="12" xr3:uid="{E867C972-78F1-4DE9-BDE3-22A669B9F59A}" name="Judge 5_x000a_Barbara Novina" dataDxfId="998"/>
    <tableColumn id="11" xr3:uid="{9800E740-00A0-4C85-B0A9-A26AA291A7A2}" name="J5 (-)" dataDxfId="997"/>
    <tableColumn id="10" xr3:uid="{61C1F838-DA88-4649-AC07-A80734089E1F}" name="J5 TOTAL" dataDxfId="996">
      <calculatedColumnFormula>Majorette_Duo_AccessoriesDuo_Junior[[#This Row],[Judge 5
Barbara Novina]]-Z2</calculatedColumnFormula>
    </tableColumn>
    <tableColumn id="2" xr3:uid="{F701A34E-C948-47CB-9B41-948189F2C769}" name="J5 (Rank)" dataDxfId="995">
      <calculatedColumnFormula>COUNTIFS(Majorette_Duo_AccessoriesDuo_Junior[Age
Division],Majorette_Duo_AccessoriesDuo_Junior[[#This Row],[Age
Division]],Majorette_Duo_AccessoriesDuo_Junior[Category],Majorette_Duo_AccessoriesDuo_Junior[[#This Row],[Category]],Majorette_Duo_AccessoriesDuo_Junior[J5 TOTAL],"&gt;"&amp;Majorette_Duo_AccessoriesDuo_Junior[[#This Row],[J5 TOTAL]])+1</calculatedColumnFormula>
    </tableColumn>
    <tableColumn id="20" xr3:uid="{C809B1C1-D6DD-433D-B6E7-0AA4F188DB92}" name="Total" dataDxfId="994">
      <calculatedColumnFormula>SUM(Majorette_Duo_AccessoriesDuo_Junior[[#This Row],[J1 TOTAL]]+Majorette_Duo_AccessoriesDuo_Junior[[#This Row],[J2 TOTAL]]+Majorette_Duo_AccessoriesDuo_Junior[[#This Row],[J3 TOTAL]]+Majorette_Duo_AccessoriesDuo_Junior[[#This Row],[J4 TOTAL]])+Majorette_Duo_AccessoriesDuo_Junior[[#This Row],[J5 TOTAL]]</calculatedColumnFormula>
    </tableColumn>
    <tableColumn id="23" xr3:uid="{B6654940-C31E-4DC9-B745-F3241F5E117E}" name="Low" dataDxfId="993"/>
    <tableColumn id="19" xr3:uid="{8EE66243-A51C-4CC1-805D-C5A920B3B42D}" name="High" dataDxfId="992"/>
    <tableColumn id="25" xr3:uid="{F0CE054A-3096-429A-AEF0-738DB8D0D2E7}" name="Final Total" dataDxfId="991">
      <calculatedColumnFormula>SUM(Majorette_Duo_AccessoriesDuo_Junior[[#This Row],[Total]]-Majorette_Duo_AccessoriesDuo_Junior[[#This Row],[Low]]-Majorette_Duo_AccessoriesDuo_Junior[[#This Row],[High]])</calculatedColumnFormula>
    </tableColumn>
    <tableColumn id="24" xr3:uid="{7ED0867B-E99E-469B-B2AB-ED29324E4E0E}" name="Avg" dataDxfId="990">
      <calculatedColumnFormula>AVERAGE(I2,M2,Q2,U2,Y2)</calculatedColumnFormula>
    </tableColumn>
    <tableColumn id="22" xr3:uid="{FB043248-E645-4CE8-B046-25AC9832F883}" name="FINAL SCORE" dataDxfId="989">
      <calculatedColumnFormula>Majorette_Duo_AccessoriesDuo_Junior[[#This Row],[Final Total]]</calculatedColumnFormula>
    </tableColumn>
    <tableColumn id="27" xr3:uid="{CC12E435-519B-49A6-B89E-19332EA4E91B}" name="Rank" dataDxfId="988">
      <calculatedColumnFormula>COUNTIFS(Majorette_Duo_AccessoriesDuo_Junior[Age
Division],Majorette_Duo_AccessoriesDuo_Junior[[#This Row],[Age
Division]],Majorette_Duo_AccessoriesDuo_Junior[Category],Majorette_Duo_AccessoriesDuo_Junior[[#This Row],[Category]],Majorette_Duo_AccessoriesDuo_Junior[FINAL SCORE],"&gt;"&amp;Majorette_Duo_AccessoriesDuo_Junior[[#This Row],[FINAL SCORE]])+1</calculatedColumnFormula>
    </tableColumn>
    <tableColumn id="39" xr3:uid="{42AE429B-830E-47F8-97A7-2D254590DAC1}" name="Category Type" dataDxfId="987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9AB1B4B-DDBD-42D7-9E0D-4C0CDB3B261A}" name="Majorette_Duo_AccessoriesDuo_Senior" displayName="Majorette_Duo_AccessoriesDuo_Senior" ref="A1:AJ2" totalsRowShown="0" headerRowDxfId="948" dataDxfId="947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BBD1B78D-4ED0-44EB-9B44-396FAB20B865}" name="Start No." dataDxfId="984"/>
    <tableColumn id="8" xr3:uid="{CE4D80BD-8BEE-443D-AAA9-3405A75508CA}" name="Lane" dataDxfId="983"/>
    <tableColumn id="9" xr3:uid="{4EB41ABA-310E-4448-B2C8-954C50786F1F}" name="Category" dataDxfId="982"/>
    <tableColumn id="32" xr3:uid="{3377D292-DF37-41B1-88F8-F567947C5A32}" name="Age_x000a_Division" dataDxfId="981"/>
    <tableColumn id="40" xr3:uid="{5DA206B7-B413-41F0-9688-0DB104EF8364}" name="Level" dataDxfId="980"/>
    <tableColumn id="4" xr3:uid="{810EC79A-3864-45B0-9A93-0AAEB27EA729}" name="Athlete" dataDxfId="979"/>
    <tableColumn id="38" xr3:uid="{4A08AD4D-E2CC-4508-9CCC-3B18331D9B71}" name="Club" dataDxfId="978"/>
    <tableColumn id="37" xr3:uid="{48661398-1499-44A5-9768-59F16417A22F}" name="Country" dataDxfId="977"/>
    <tableColumn id="15" xr3:uid="{B782AC9F-8776-409C-8A5D-8C1B70A8A2F3}" name="Judge 1_x000a_Tamara Beljak" dataDxfId="976"/>
    <tableColumn id="33" xr3:uid="{1C53C457-DF21-4E07-A477-C11C923C0524}" name="J1 (-)" dataDxfId="975"/>
    <tableColumn id="26" xr3:uid="{0BCDE33F-6A73-4A4D-BFDA-BCAB8CC8C88D}" name="J1 TOTAL" dataDxfId="974">
      <calculatedColumnFormula>Majorette_Duo_AccessoriesDuo_Senior[[#This Row],[Judge 1
Tamara Beljak]]-J2</calculatedColumnFormula>
    </tableColumn>
    <tableColumn id="3" xr3:uid="{943A71C4-B09B-4EE8-92B2-012F5022E3EA}" name="J1 (Rank)" dataDxfId="973">
      <calculatedColumnFormula>COUNTIFS(Majorette_Duo_AccessoriesDuo_Senior[Age
Division],Majorette_Duo_AccessoriesDuo_Senior[[#This Row],[Age
Division]],Majorette_Duo_AccessoriesDuo_Senior[Category],Majorette_Duo_AccessoriesDuo_Senior[[#This Row],[Category]],Majorette_Duo_AccessoriesDuo_Senior[J1 TOTAL],"&gt;"&amp;Majorette_Duo_AccessoriesDuo_Senior[[#This Row],[J1 TOTAL]])+1</calculatedColumnFormula>
    </tableColumn>
    <tableColumn id="16" xr3:uid="{C9B47913-F2D3-419D-8F47-D40CBEB359F4}" name="Judge 2_x000a_Tihomir Bendelja" dataDxfId="972"/>
    <tableColumn id="34" xr3:uid="{BCF2380D-6006-4847-8E80-421735EC1A02}" name="J2 (-)" dataDxfId="971"/>
    <tableColumn id="28" xr3:uid="{DA61605F-B8DD-4F83-A530-FDE7C40D5756}" name="J2 TOTAL" dataDxfId="970">
      <calculatedColumnFormula>Majorette_Duo_AccessoriesDuo_Senior[[#This Row],[Judge 2
Tihomir Bendelja]]-Majorette_Duo_AccessoriesDuo_Senior[[#This Row],[J2 (-)]]</calculatedColumnFormula>
    </tableColumn>
    <tableColumn id="5" xr3:uid="{E05B9084-453C-4CBA-9122-B71F665EF2BC}" name="J2 (Rank)" dataDxfId="969">
      <calculatedColumnFormula>COUNTIFS(Majorette_Duo_AccessoriesDuo_Senior[Age
Division],Majorette_Duo_AccessoriesDuo_Senior[[#This Row],[Age
Division]],Majorette_Duo_AccessoriesDuo_Senior[Category],Majorette_Duo_AccessoriesDuo_Senior[[#This Row],[Category]],Majorette_Duo_AccessoriesDuo_Senior[J2 TOTAL],"&gt;"&amp;Majorette_Duo_AccessoriesDuo_Senior[[#This Row],[J2 TOTAL]])+1</calculatedColumnFormula>
    </tableColumn>
    <tableColumn id="17" xr3:uid="{9139450A-F110-4947-9CFE-57A3A9077292}" name="Judge 3_x000a_Tea Softić" dataDxfId="968"/>
    <tableColumn id="35" xr3:uid="{31021466-E66A-4659-A38D-589996EAFE7D}" name="J3 (-)" dataDxfId="967"/>
    <tableColumn id="30" xr3:uid="{A9B21F0E-B785-4690-BFA8-FB84FDDF785D}" name="J3 TOTAL" dataDxfId="966">
      <calculatedColumnFormula>Majorette_Duo_AccessoriesDuo_Senior[[#This Row],[Judge 3
Tea Softić]]-R2</calculatedColumnFormula>
    </tableColumn>
    <tableColumn id="6" xr3:uid="{896E6DD7-9554-4FED-972D-153820EB4B92}" name="J3 (Rank)" dataDxfId="965">
      <calculatedColumnFormula>COUNTIFS(Majorette_Duo_AccessoriesDuo_Senior[Age
Division],Majorette_Duo_AccessoriesDuo_Senior[[#This Row],[Age
Division]],Majorette_Duo_AccessoriesDuo_Senior[Category],Majorette_Duo_AccessoriesDuo_Senior[[#This Row],[Category]],Majorette_Duo_AccessoriesDuo_Senior[J3 TOTAL],"&gt;"&amp;Majorette_Duo_AccessoriesDuo_Senior[[#This Row],[J3 TOTAL]])+1</calculatedColumnFormula>
    </tableColumn>
    <tableColumn id="18" xr3:uid="{2014D617-EE1F-4EB2-84E7-531A61F2C530}" name="Judge 4_x000a_Bernard Barač" dataDxfId="964"/>
    <tableColumn id="36" xr3:uid="{678C595F-71AA-4683-A2B9-ED2D46AD7528}" name="J4 (-)" dataDxfId="963"/>
    <tableColumn id="31" xr3:uid="{B5763FB6-85E1-4AFF-A454-AE831215578D}" name="J4 TOTAL" dataDxfId="962">
      <calculatedColumnFormula>Majorette_Duo_AccessoriesDuo_Senior[[#This Row],[Judge 4
Bernard Barač]]-V2</calculatedColumnFormula>
    </tableColumn>
    <tableColumn id="7" xr3:uid="{34B25FEF-4989-47C9-B661-BBC649111F56}" name="J4 (Rank)" dataDxfId="961">
      <calculatedColumnFormula>COUNTIFS(Majorette_Duo_AccessoriesDuo_Senior[Age
Division],Majorette_Duo_AccessoriesDuo_Senior[[#This Row],[Age
Division]],Majorette_Duo_AccessoriesDuo_Senior[Category],Majorette_Duo_AccessoriesDuo_Senior[[#This Row],[Category]],Majorette_Duo_AccessoriesDuo_Senior[J4 TOTAL],"&gt;"&amp;Majorette_Duo_AccessoriesDuo_Senior[[#This Row],[J4 TOTAL]])+1</calculatedColumnFormula>
    </tableColumn>
    <tableColumn id="12" xr3:uid="{C49B1E23-C966-4B2F-9B27-E35417CEB8DA}" name="Judge 5_x000a_Barbara Novina" dataDxfId="960"/>
    <tableColumn id="11" xr3:uid="{4C6B7D2E-00B9-4311-8C6C-35F8037D4BDD}" name="J5 (-)" dataDxfId="959"/>
    <tableColumn id="10" xr3:uid="{DF844415-C04C-413B-9D35-B4F3818E80FD}" name="J5 TOTAL" dataDxfId="958">
      <calculatedColumnFormula>Majorette_Duo_AccessoriesDuo_Senior[[#This Row],[Judge 5
Barbara Novina]]-Z2</calculatedColumnFormula>
    </tableColumn>
    <tableColumn id="2" xr3:uid="{19040C22-A5CF-4165-8D79-B311CDCD88E5}" name="J5 (Rank)" dataDxfId="957">
      <calculatedColumnFormula>COUNTIFS(Majorette_Duo_AccessoriesDuo_Senior[Age
Division],Majorette_Duo_AccessoriesDuo_Senior[[#This Row],[Age
Division]],Majorette_Duo_AccessoriesDuo_Senior[Category],Majorette_Duo_AccessoriesDuo_Senior[[#This Row],[Category]],Majorette_Duo_AccessoriesDuo_Senior[J5 TOTAL],"&gt;"&amp;Majorette_Duo_AccessoriesDuo_Senior[[#This Row],[J5 TOTAL]])+1</calculatedColumnFormula>
    </tableColumn>
    <tableColumn id="20" xr3:uid="{1A78A9E7-36AB-436C-9D85-F4865F725CEE}" name="Total" dataDxfId="956">
      <calculatedColumnFormula>SUM(Majorette_Duo_AccessoriesDuo_Senior[[#This Row],[J1 TOTAL]]+Majorette_Duo_AccessoriesDuo_Senior[[#This Row],[J2 TOTAL]]+Majorette_Duo_AccessoriesDuo_Senior[[#This Row],[J3 TOTAL]]+Majorette_Duo_AccessoriesDuo_Senior[[#This Row],[J4 TOTAL]])+Majorette_Duo_AccessoriesDuo_Senior[[#This Row],[J5 TOTAL]]</calculatedColumnFormula>
    </tableColumn>
    <tableColumn id="23" xr3:uid="{726C013B-E7AF-45BC-9837-7C8C6347078F}" name="Low" dataDxfId="955"/>
    <tableColumn id="19" xr3:uid="{13B05C12-0B0B-4A50-80EE-EACC408D2FA1}" name="High" dataDxfId="954"/>
    <tableColumn id="25" xr3:uid="{B56D7876-ABCC-4B4E-BAA0-02DFABD3ABB3}" name="Final Total" dataDxfId="953">
      <calculatedColumnFormula>SUM(Majorette_Duo_AccessoriesDuo_Senior[[#This Row],[Total]]-Majorette_Duo_AccessoriesDuo_Senior[[#This Row],[Low]]-Majorette_Duo_AccessoriesDuo_Senior[[#This Row],[High]])</calculatedColumnFormula>
    </tableColumn>
    <tableColumn id="24" xr3:uid="{EBB048BB-8529-4B93-B16A-C4894A616F95}" name="Avg" dataDxfId="952">
      <calculatedColumnFormula>AVERAGE(I2,M2,Q2,U2,Y2)</calculatedColumnFormula>
    </tableColumn>
    <tableColumn id="22" xr3:uid="{1D8DA708-D654-41AE-B8CE-7528B0F9BC66}" name="FINAL SCORE" dataDxfId="951">
      <calculatedColumnFormula>Majorette_Duo_AccessoriesDuo_Senior[[#This Row],[Final Total]]</calculatedColumnFormula>
    </tableColumn>
    <tableColumn id="27" xr3:uid="{953E03FC-10E0-4354-A765-69B10E0B3E14}" name="Rank" dataDxfId="950">
      <calculatedColumnFormula>COUNTIFS(Majorette_Duo_AccessoriesDuo_Senior[Age
Division],Majorette_Duo_AccessoriesDuo_Senior[[#This Row],[Age
Division]],Majorette_Duo_AccessoriesDuo_Senior[Category],Majorette_Duo_AccessoriesDuo_Senior[[#This Row],[Category]],Majorette_Duo_AccessoriesDuo_Senior[FINAL SCORE],"&gt;"&amp;Majorette_Duo_AccessoriesDuo_Senior[[#This Row],[FINAL SCORE]])+1</calculatedColumnFormula>
    </tableColumn>
    <tableColumn id="39" xr3:uid="{DFF337F5-400F-43BF-BB89-281BB0E2D371}" name="Category Type" dataDxfId="94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60A3A9B-60DB-472D-98BC-870C6C29E2D0}" name="Majorette_Duo_PomponDuoTrio_Children" displayName="Majorette_Duo_PomponDuoTrio_Children" ref="A1:AJ2" totalsRowShown="0" headerRowDxfId="910" dataDxfId="909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28A03292-622C-47EA-A5D5-CA4DF2DB2C53}" name="Start No." dataDxfId="946"/>
    <tableColumn id="8" xr3:uid="{3909F51D-4501-4ECB-9056-71EAD61E8C7F}" name="Lane" dataDxfId="945"/>
    <tableColumn id="9" xr3:uid="{10743AC0-FA4E-44BB-A044-2438EF659EA6}" name="Category" dataDxfId="944"/>
    <tableColumn id="32" xr3:uid="{329BA373-F7EB-4FC0-8AF0-FA9F385E25FB}" name="Age_x000a_Division" dataDxfId="943"/>
    <tableColumn id="40" xr3:uid="{AE578608-7BA0-4C1E-891C-E43CE97816F4}" name="Level" dataDxfId="942"/>
    <tableColumn id="4" xr3:uid="{99A599AC-DD5C-4550-B4D9-941F664BCF00}" name="Athlete" dataDxfId="941"/>
    <tableColumn id="38" xr3:uid="{EAD29FBC-8E96-4645-B73F-3F40C8E896AF}" name="Club" dataDxfId="940"/>
    <tableColumn id="37" xr3:uid="{0FB1C31A-61D3-4A5D-BE86-1AD5885A5661}" name="Country" dataDxfId="939"/>
    <tableColumn id="15" xr3:uid="{03560F08-DE4A-4587-A126-CE2153412637}" name="Judge 1_x000a_Tamara Beljak" dataDxfId="938"/>
    <tableColumn id="33" xr3:uid="{DCC25841-2960-4F0A-8C08-838F00A2258F}" name="J1 (-)" dataDxfId="937"/>
    <tableColumn id="26" xr3:uid="{F94C628A-F71F-435A-9C7D-08CA3EF39D0C}" name="J1 TOTAL" dataDxfId="936">
      <calculatedColumnFormula>Majorette_Duo_PomponDuoTrio_Children[[#This Row],[Judge 1
Tamara Beljak]]-J2</calculatedColumnFormula>
    </tableColumn>
    <tableColumn id="3" xr3:uid="{6DBD3C5E-1C03-4525-87C4-09E084391C0C}" name="J1 (Rank)" dataDxfId="935">
      <calculatedColumnFormula>COUNTIFS(Majorette_Duo_PomponDuoTrio_Children[Age
Division],Majorette_Duo_PomponDuoTrio_Children[[#This Row],[Age
Division]],Majorette_Duo_PomponDuoTrio_Children[Category],Majorette_Duo_PomponDuoTrio_Children[[#This Row],[Category]],Majorette_Duo_PomponDuoTrio_Children[J1 TOTAL],"&gt;"&amp;Majorette_Duo_PomponDuoTrio_Children[[#This Row],[J1 TOTAL]])+1</calculatedColumnFormula>
    </tableColumn>
    <tableColumn id="16" xr3:uid="{8941599D-C4A7-4650-B6E7-17EBCC513999}" name="Judge 2_x000a_Tihomir Bendelja" dataDxfId="934"/>
    <tableColumn id="34" xr3:uid="{351AE68C-7E82-42DC-B5EF-93B437ECB26A}" name="J2 (-)" dataDxfId="933"/>
    <tableColumn id="28" xr3:uid="{B64E84DA-8516-46B8-92B8-97DBF741B538}" name="J2 TOTAL" dataDxfId="932">
      <calculatedColumnFormula>Majorette_Duo_PomponDuoTrio_Children[[#This Row],[Judge 2
Tihomir Bendelja]]-Majorette_Duo_PomponDuoTrio_Children[[#This Row],[J2 (-)]]</calculatedColumnFormula>
    </tableColumn>
    <tableColumn id="5" xr3:uid="{5EC6B718-CA99-4DBE-B43B-49A3004A8C7D}" name="J2 (Rank)" dataDxfId="931">
      <calculatedColumnFormula>COUNTIFS(Majorette_Duo_PomponDuoTrio_Children[Age
Division],Majorette_Duo_PomponDuoTrio_Children[[#This Row],[Age
Division]],Majorette_Duo_PomponDuoTrio_Children[Category],Majorette_Duo_PomponDuoTrio_Children[[#This Row],[Category]],Majorette_Duo_PomponDuoTrio_Children[J2 TOTAL],"&gt;"&amp;Majorette_Duo_PomponDuoTrio_Children[[#This Row],[J2 TOTAL]])+1</calculatedColumnFormula>
    </tableColumn>
    <tableColumn id="17" xr3:uid="{4B1D50BF-4691-412B-8B06-1F6C80183500}" name="Judge 3_x000a_Tea Softić" dataDxfId="930"/>
    <tableColumn id="35" xr3:uid="{8691567C-FD9F-477E-8A95-C70B4BE86EA8}" name="J3 (-)" dataDxfId="929"/>
    <tableColumn id="30" xr3:uid="{61C68838-A4C3-4E2B-9319-887EBFEDEDAA}" name="J3 TOTAL" dataDxfId="928">
      <calculatedColumnFormula>Majorette_Duo_PomponDuoTrio_Children[[#This Row],[Judge 3
Tea Softić]]-R2</calculatedColumnFormula>
    </tableColumn>
    <tableColumn id="6" xr3:uid="{F3232E2E-897A-4687-94B9-A7466BE3FBD0}" name="J3 (Rank)" dataDxfId="927">
      <calculatedColumnFormula>COUNTIFS(Majorette_Duo_PomponDuoTrio_Children[Age
Division],Majorette_Duo_PomponDuoTrio_Children[[#This Row],[Age
Division]],Majorette_Duo_PomponDuoTrio_Children[Category],Majorette_Duo_PomponDuoTrio_Children[[#This Row],[Category]],Majorette_Duo_PomponDuoTrio_Children[J3 TOTAL],"&gt;"&amp;Majorette_Duo_PomponDuoTrio_Children[[#This Row],[J3 TOTAL]])+1</calculatedColumnFormula>
    </tableColumn>
    <tableColumn id="18" xr3:uid="{AD8A5246-9EEE-4AEE-8A91-BE1F3DDF7DB8}" name="Judge 4_x000a_Bernard Barač" dataDxfId="926"/>
    <tableColumn id="36" xr3:uid="{01AB8105-9D87-420D-BDD3-D54D791639B1}" name="J4 (-)" dataDxfId="925"/>
    <tableColumn id="31" xr3:uid="{4A4E28B0-F733-4900-92BD-6282385DFC99}" name="J4 TOTAL" dataDxfId="924">
      <calculatedColumnFormula>Majorette_Duo_PomponDuoTrio_Children[[#This Row],[Judge 4
Bernard Barač]]-V2</calculatedColumnFormula>
    </tableColumn>
    <tableColumn id="7" xr3:uid="{7EBE8E2E-815B-41EF-846A-72D3E1906EC5}" name="J4 (Rank)" dataDxfId="923">
      <calculatedColumnFormula>COUNTIFS(Majorette_Duo_PomponDuoTrio_Children[Age
Division],Majorette_Duo_PomponDuoTrio_Children[[#This Row],[Age
Division]],Majorette_Duo_PomponDuoTrio_Children[Category],Majorette_Duo_PomponDuoTrio_Children[[#This Row],[Category]],Majorette_Duo_PomponDuoTrio_Children[J4 TOTAL],"&gt;"&amp;Majorette_Duo_PomponDuoTrio_Children[[#This Row],[J4 TOTAL]])+1</calculatedColumnFormula>
    </tableColumn>
    <tableColumn id="12" xr3:uid="{F92FD02B-A23C-4E8C-90BB-64E0B786CB64}" name="Judge 5_x000a_Barbara Novina" dataDxfId="922"/>
    <tableColumn id="11" xr3:uid="{331F7DA8-4B3F-4390-9A17-786E63421EE0}" name="J5 (-)" dataDxfId="921"/>
    <tableColumn id="10" xr3:uid="{FA46BB6E-B285-4E30-B8C6-0150D84879B0}" name="J5 TOTAL" dataDxfId="920">
      <calculatedColumnFormula>Majorette_Duo_PomponDuoTrio_Children[[#This Row],[Judge 5
Barbara Novina]]-Z2</calculatedColumnFormula>
    </tableColumn>
    <tableColumn id="2" xr3:uid="{DD7D3F60-FDFD-48EF-9B03-656D0A85BC4D}" name="J5 (Rank)" dataDxfId="919">
      <calculatedColumnFormula>COUNTIFS(Majorette_Duo_PomponDuoTrio_Children[Age
Division],Majorette_Duo_PomponDuoTrio_Children[[#This Row],[Age
Division]],Majorette_Duo_PomponDuoTrio_Children[Category],Majorette_Duo_PomponDuoTrio_Children[[#This Row],[Category]],Majorette_Duo_PomponDuoTrio_Children[J5 TOTAL],"&gt;"&amp;Majorette_Duo_PomponDuoTrio_Children[[#This Row],[J5 TOTAL]])+1</calculatedColumnFormula>
    </tableColumn>
    <tableColumn id="20" xr3:uid="{3D172400-07C9-4C9F-8F46-1BC8A764B248}" name="Total" dataDxfId="918">
      <calculatedColumnFormula>SUM(Majorette_Duo_PomponDuoTrio_Children[[#This Row],[J1 TOTAL]]+Majorette_Duo_PomponDuoTrio_Children[[#This Row],[J2 TOTAL]]+Majorette_Duo_PomponDuoTrio_Children[[#This Row],[J3 TOTAL]]+Majorette_Duo_PomponDuoTrio_Children[[#This Row],[J4 TOTAL]])+Majorette_Duo_PomponDuoTrio_Children[[#This Row],[J5 TOTAL]]</calculatedColumnFormula>
    </tableColumn>
    <tableColumn id="23" xr3:uid="{AA28889B-E064-4D11-B5CA-165EAFD09AEB}" name="Low" dataDxfId="917"/>
    <tableColumn id="19" xr3:uid="{657461F9-9918-4562-A8D8-E54F96CCDDE9}" name="High" dataDxfId="916"/>
    <tableColumn id="25" xr3:uid="{5FA1A2AE-5B49-4B1D-996B-6906B652C70B}" name="Final Total" dataDxfId="915">
      <calculatedColumnFormula>SUM(Majorette_Duo_PomponDuoTrio_Children[[#This Row],[Total]]-Majorette_Duo_PomponDuoTrio_Children[[#This Row],[Low]]-Majorette_Duo_PomponDuoTrio_Children[[#This Row],[High]])</calculatedColumnFormula>
    </tableColumn>
    <tableColumn id="24" xr3:uid="{9E4DD6E5-0406-4B7E-B276-340C9B39F4C0}" name="Avg" dataDxfId="914">
      <calculatedColumnFormula>AVERAGE(I2,M2,Q2,U2,Y2)</calculatedColumnFormula>
    </tableColumn>
    <tableColumn id="22" xr3:uid="{B1275DE1-AEE8-4A7B-92AF-6C19D5C1AF06}" name="FINAL SCORE" dataDxfId="913">
      <calculatedColumnFormula>Majorette_Duo_PomponDuoTrio_Children[[#This Row],[Final Total]]</calculatedColumnFormula>
    </tableColumn>
    <tableColumn id="27" xr3:uid="{CBABF171-D7B0-4729-9BE1-D04B0F3AC969}" name="Rank" dataDxfId="912">
      <calculatedColumnFormula>COUNTIFS(Majorette_Duo_PomponDuoTrio_Children[Age
Division],Majorette_Duo_PomponDuoTrio_Children[[#This Row],[Age
Division]],Majorette_Duo_PomponDuoTrio_Children[Category],Majorette_Duo_PomponDuoTrio_Children[[#This Row],[Category]],Majorette_Duo_PomponDuoTrio_Children[FINAL SCORE],"&gt;"&amp;Majorette_Duo_PomponDuoTrio_Children[[#This Row],[FINAL SCORE]])+1</calculatedColumnFormula>
    </tableColumn>
    <tableColumn id="39" xr3:uid="{008F6903-BEF0-42B7-8EE1-80E1ADB27482}" name="Category Type" dataDxfId="9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2E53B4-1641-4A5B-9BE5-2CC7E9423411}" name="Majorette_Solo_MajoretteSolo_Cadet" displayName="Majorette_Solo_MajoretteSolo_Cadet" ref="A1:AJ8" totalsRowShown="0" headerRowDxfId="1556" dataDxfId="1555">
  <autoFilter ref="A1:AJ8" xr:uid="{042C9DAD-4CB0-4D2A-8C87-3D9863992DF4}"/>
  <sortState xmlns:xlrd2="http://schemas.microsoft.com/office/spreadsheetml/2017/richdata2" ref="A2:AJ8">
    <sortCondition ref="AI1:AI8"/>
  </sortState>
  <tableColumns count="36">
    <tableColumn id="1" xr3:uid="{5341F397-21FA-4A6F-A0FA-0C439FA657DD}" name="Start No." dataDxfId="1592"/>
    <tableColumn id="8" xr3:uid="{596E52B9-22A3-4B92-8BEA-B70BF8556863}" name="Lane" dataDxfId="1591"/>
    <tableColumn id="9" xr3:uid="{B89F37E6-73C3-4D30-925C-2BDB22B27439}" name="Category" dataDxfId="1590"/>
    <tableColumn id="32" xr3:uid="{35A40D79-7BA0-4B68-83AC-4167ABA4191A}" name="Age_x000a_Division" dataDxfId="1589"/>
    <tableColumn id="40" xr3:uid="{C2F209AA-1D99-4566-9E3B-3AFB32667A33}" name="Level" dataDxfId="1588"/>
    <tableColumn id="4" xr3:uid="{E926A3E6-D861-47F9-B055-DCEE5C57A5B1}" name="Athlete" dataDxfId="1587"/>
    <tableColumn id="38" xr3:uid="{BFEE0331-072D-4D25-831D-4285B15612F0}" name="Club" dataDxfId="1586"/>
    <tableColumn id="37" xr3:uid="{3F7B9092-FEAE-4557-A484-175F503CDCC0}" name="Country" dataDxfId="1585"/>
    <tableColumn id="15" xr3:uid="{D5E8EDC2-80B5-424B-9145-26AEAC0E5DFA}" name="Judge 1_x000a_Tamara Beljak" dataDxfId="1584"/>
    <tableColumn id="33" xr3:uid="{0C2359D0-A263-4173-AE82-9AB5226BCFD7}" name="J1 (-)" dataDxfId="1583"/>
    <tableColumn id="26" xr3:uid="{BD392276-7B04-41ED-A64A-41126A40F134}" name="J1 TOTAL" dataDxfId="1582">
      <calculatedColumnFormula>Majorette_Solo_MajoretteSolo_Cadet[[#This Row],[Judge 1
Tamara Beljak]]-J2</calculatedColumnFormula>
    </tableColumn>
    <tableColumn id="3" xr3:uid="{F5A2C2D4-6C82-4A7A-8776-6BDF8A61859C}" name="J1 (Rank)" dataDxfId="1581">
      <calculatedColumnFormula>COUNTIFS(Majorette_Solo_MajoretteSolo_Cadet[Age
Division],Majorette_Solo_MajoretteSolo_Cadet[[#This Row],[Age
Division]],Majorette_Solo_MajoretteSolo_Cadet[Category],Majorette_Solo_MajoretteSolo_Cadet[[#This Row],[Category]],Majorette_Solo_MajoretteSolo_Cadet[J1 TOTAL],"&gt;"&amp;Majorette_Solo_MajoretteSolo_Cadet[[#This Row],[J1 TOTAL]])+1</calculatedColumnFormula>
    </tableColumn>
    <tableColumn id="16" xr3:uid="{10BC9652-4C3E-44A8-91DE-7CF3A6221BEB}" name="Judge 2_x000a_Tihomir Bendelja" dataDxfId="1580"/>
    <tableColumn id="34" xr3:uid="{803262FB-B1F5-4EC6-8534-5B3BCAC089D5}" name="J2 (-)" dataDxfId="1579"/>
    <tableColumn id="28" xr3:uid="{2DA751BA-C413-4506-A3F2-C0B44C534382}" name="J2 TOTAL" dataDxfId="1578">
      <calculatedColumnFormula>Majorette_Solo_MajoretteSolo_Cadet[[#This Row],[Judge 2
Tihomir Bendelja]]-Majorette_Solo_MajoretteSolo_Cadet[[#This Row],[J2 (-)]]</calculatedColumnFormula>
    </tableColumn>
    <tableColumn id="5" xr3:uid="{03E8EC40-BD83-4742-8583-442BA5D809CA}" name="J2 (Rank)" dataDxfId="1577">
      <calculatedColumnFormula>COUNTIFS(Majorette_Solo_MajoretteSolo_Cadet[Age
Division],Majorette_Solo_MajoretteSolo_Cadet[[#This Row],[Age
Division]],Majorette_Solo_MajoretteSolo_Cadet[Category],Majorette_Solo_MajoretteSolo_Cadet[[#This Row],[Category]],Majorette_Solo_MajoretteSolo_Cadet[J2 TOTAL],"&gt;"&amp;Majorette_Solo_MajoretteSolo_Cadet[[#This Row],[J2 TOTAL]])+1</calculatedColumnFormula>
    </tableColumn>
    <tableColumn id="17" xr3:uid="{1A7A095C-A318-4926-A285-BAAAA43357A6}" name="Judge 3_x000a_Tea Softić" dataDxfId="1576"/>
    <tableColumn id="35" xr3:uid="{FD329E50-C0BE-43D8-BC5E-C324D535B81E}" name="J3 (-)" dataDxfId="1575"/>
    <tableColumn id="30" xr3:uid="{D9F29963-E8C4-4280-B4B6-BB7B8DBF8BFF}" name="J3 TOTAL" dataDxfId="1574">
      <calculatedColumnFormula>Majorette_Solo_MajoretteSolo_Cadet[[#This Row],[Judge 3
Tea Softić]]-R2</calculatedColumnFormula>
    </tableColumn>
    <tableColumn id="6" xr3:uid="{61EFFA13-C2A6-4EDF-A9AA-47318BA9BFE8}" name="J3 (Rank)" dataDxfId="1573">
      <calculatedColumnFormula>COUNTIFS(Majorette_Solo_MajoretteSolo_Cadet[Age
Division],Majorette_Solo_MajoretteSolo_Cadet[[#This Row],[Age
Division]],Majorette_Solo_MajoretteSolo_Cadet[Category],Majorette_Solo_MajoretteSolo_Cadet[[#This Row],[Category]],Majorette_Solo_MajoretteSolo_Cadet[J3 TOTAL],"&gt;"&amp;Majorette_Solo_MajoretteSolo_Cadet[[#This Row],[J3 TOTAL]])+1</calculatedColumnFormula>
    </tableColumn>
    <tableColumn id="18" xr3:uid="{83C09BF1-62E3-4D95-AC80-F3C37DE2B254}" name="Judge 4_x000a_Bernard Barač" dataDxfId="1572"/>
    <tableColumn id="36" xr3:uid="{4F6A2AA2-F468-4364-84EF-83BCB55102C9}" name="J4 (-)" dataDxfId="1571"/>
    <tableColumn id="31" xr3:uid="{2F35D56C-5B35-4D56-AB96-30187BCA1C2C}" name="J4 TOTAL" dataDxfId="1570">
      <calculatedColumnFormula>Majorette_Solo_MajoretteSolo_Cadet[[#This Row],[Judge 4
Bernard Barač]]-V2</calculatedColumnFormula>
    </tableColumn>
    <tableColumn id="7" xr3:uid="{E6006F52-C677-4704-91A5-414AAC4913C7}" name="J4 (Rank)" dataDxfId="1569">
      <calculatedColumnFormula>COUNTIFS(Majorette_Solo_MajoretteSolo_Cadet[Age
Division],Majorette_Solo_MajoretteSolo_Cadet[[#This Row],[Age
Division]],Majorette_Solo_MajoretteSolo_Cadet[Category],Majorette_Solo_MajoretteSolo_Cadet[[#This Row],[Category]],Majorette_Solo_MajoretteSolo_Cadet[J4 TOTAL],"&gt;"&amp;Majorette_Solo_MajoretteSolo_Cadet[[#This Row],[J4 TOTAL]])+1</calculatedColumnFormula>
    </tableColumn>
    <tableColumn id="12" xr3:uid="{D9188B69-BE1E-4771-900B-CE0E0E1DC1DB}" name="Judge 5_x000a_Barbara Novina" dataDxfId="1568"/>
    <tableColumn id="11" xr3:uid="{60E0F933-959F-400F-8B1A-998D678987F9}" name="J5 (-)" dataDxfId="1567"/>
    <tableColumn id="10" xr3:uid="{391C4A3B-681F-4CD4-B9BD-F8ED73BD26DA}" name="J5 TOTAL" dataDxfId="1566">
      <calculatedColumnFormula>Majorette_Solo_MajoretteSolo_Cadet[[#This Row],[Judge 5
Barbara Novina]]-Z2</calculatedColumnFormula>
    </tableColumn>
    <tableColumn id="2" xr3:uid="{44228330-FEA6-4AF4-AFC9-12935C629A33}" name="J5 (Rank)" dataDxfId="1565">
      <calculatedColumnFormula>COUNTIFS(Majorette_Solo_MajoretteSolo_Cadet[Age
Division],Majorette_Solo_MajoretteSolo_Cadet[[#This Row],[Age
Division]],Majorette_Solo_MajoretteSolo_Cadet[Category],Majorette_Solo_MajoretteSolo_Cadet[[#This Row],[Category]],Majorette_Solo_MajoretteSolo_Cadet[J5 TOTAL],"&gt;"&amp;Majorette_Solo_MajoretteSolo_Cadet[[#This Row],[J5 TOTAL]])+1</calculatedColumnFormula>
    </tableColumn>
    <tableColumn id="20" xr3:uid="{98AFE621-BB23-4E7B-AE58-42A3BE8CC692}" name="Total" dataDxfId="1564">
      <calculatedColumnFormula>SUM(Majorette_Solo_MajoretteSolo_Cadet[[#This Row],[J1 TOTAL]]+Majorette_Solo_MajoretteSolo_Cadet[[#This Row],[J2 TOTAL]]+Majorette_Solo_MajoretteSolo_Cadet[[#This Row],[J3 TOTAL]]+Majorette_Solo_MajoretteSolo_Cadet[[#This Row],[J4 TOTAL]])+Majorette_Solo_MajoretteSolo_Cadet[[#This Row],[J5 TOTAL]]</calculatedColumnFormula>
    </tableColumn>
    <tableColumn id="23" xr3:uid="{388FEC70-C305-408B-8C44-CE050538041C}" name="Low" dataDxfId="1563"/>
    <tableColumn id="19" xr3:uid="{CE38F95F-A63B-4299-887D-257C7E70AE4F}" name="High" dataDxfId="1562"/>
    <tableColumn id="25" xr3:uid="{6A4C451A-0D7C-4DA7-98C8-E292C83605F4}" name="Final Total" dataDxfId="1561">
      <calculatedColumnFormula>SUM(Majorette_Solo_MajoretteSolo_Cadet[[#This Row],[Total]]-Majorette_Solo_MajoretteSolo_Cadet[[#This Row],[Low]]-Majorette_Solo_MajoretteSolo_Cadet[[#This Row],[High]])</calculatedColumnFormula>
    </tableColumn>
    <tableColumn id="24" xr3:uid="{131F70AE-D292-4657-A88B-440BD08A955A}" name="Avg" dataDxfId="1560">
      <calculatedColumnFormula>AVERAGE(I2,M2,Q2,U2,Y2)</calculatedColumnFormula>
    </tableColumn>
    <tableColumn id="22" xr3:uid="{D47F9BE0-4E73-4E3E-A1C0-8230176921E3}" name="FINAL SCORE" dataDxfId="1559">
      <calculatedColumnFormula>Majorette_Solo_MajoretteSolo_Cadet[[#This Row],[Final Total]]</calculatedColumnFormula>
    </tableColumn>
    <tableColumn id="27" xr3:uid="{957D9C3A-0BBC-4C32-BC07-1167C8508CBD}" name="Rank" dataDxfId="1558">
      <calculatedColumnFormula>COUNTIFS(Majorette_Solo_MajoretteSolo_Cadet[Age
Division],Majorette_Solo_MajoretteSolo_Cadet[[#This Row],[Age
Division]],Majorette_Solo_MajoretteSolo_Cadet[Category],Majorette_Solo_MajoretteSolo_Cadet[[#This Row],[Category]],Majorette_Solo_MajoretteSolo_Cadet[FINAL SCORE],"&gt;"&amp;Majorette_Solo_MajoretteSolo_Cadet[[#This Row],[FINAL SCORE]])+1</calculatedColumnFormula>
    </tableColumn>
    <tableColumn id="39" xr3:uid="{3EA901C4-2615-4CF7-A4CE-9552C3BDE5B2}" name="Category Type" dataDxfId="1557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3B87CD8-0599-4FDD-8E0A-D5FA75A36C59}" name="Majorette_Duo_PomponDuoTrio_Cadet" displayName="Majorette_Duo_PomponDuoTrio_Cadet" ref="A1:AJ2" totalsRowShown="0" headerRowDxfId="872" dataDxfId="871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3A90F248-977D-410F-9EA2-F0290CF44433}" name="Start No." dataDxfId="908"/>
    <tableColumn id="8" xr3:uid="{2D78E28D-2B70-4F21-B804-9CB6937857A0}" name="Lane" dataDxfId="907"/>
    <tableColumn id="9" xr3:uid="{5E9BFE1C-CE47-4D34-8379-CE43E57CA634}" name="Category" dataDxfId="906"/>
    <tableColumn id="32" xr3:uid="{3E25912D-6857-493D-8940-59E9D2F55F11}" name="Age_x000a_Division" dataDxfId="905"/>
    <tableColumn id="40" xr3:uid="{A5B6C785-A199-47E9-B80F-2CDD158D285E}" name="Level" dataDxfId="904"/>
    <tableColumn id="4" xr3:uid="{E8DAB656-806A-4FFB-B2D6-30B2A142CD78}" name="Athlete" dataDxfId="903"/>
    <tableColumn id="38" xr3:uid="{BF6D2D3D-8430-4BB6-9C0F-A06A059C4EE0}" name="Club" dataDxfId="902"/>
    <tableColumn id="37" xr3:uid="{755F653D-8BD9-4173-B323-BA1A952F2C1A}" name="Country" dataDxfId="901"/>
    <tableColumn id="15" xr3:uid="{EB7EFE84-885D-487E-A9FA-4A0347842897}" name="Judge 1_x000a_Tamara Beljak" dataDxfId="900"/>
    <tableColumn id="33" xr3:uid="{DC3A736F-E621-422E-8397-DD846E7CF6E0}" name="J1 (-)" dataDxfId="899"/>
    <tableColumn id="26" xr3:uid="{4543B43F-BD21-41C6-AE16-E4A65AFFA9A5}" name="J1 TOTAL" dataDxfId="898">
      <calculatedColumnFormula>Majorette_Duo_PomponDuoTrio_Cadet[[#This Row],[Judge 1
Tamara Beljak]]-J2</calculatedColumnFormula>
    </tableColumn>
    <tableColumn id="3" xr3:uid="{F472A9BB-571B-4468-A40E-1B9D21E558D9}" name="J1 (Rank)" dataDxfId="897">
      <calculatedColumnFormula>COUNTIFS(Majorette_Duo_PomponDuoTrio_Cadet[Age
Division],Majorette_Duo_PomponDuoTrio_Cadet[[#This Row],[Age
Division]],Majorette_Duo_PomponDuoTrio_Cadet[Category],Majorette_Duo_PomponDuoTrio_Cadet[[#This Row],[Category]],Majorette_Duo_PomponDuoTrio_Cadet[J1 TOTAL],"&gt;"&amp;Majorette_Duo_PomponDuoTrio_Cadet[[#This Row],[J1 TOTAL]])+1</calculatedColumnFormula>
    </tableColumn>
    <tableColumn id="16" xr3:uid="{336C4AD6-127A-437D-AA01-CFD3CE629CEE}" name="Judge 2_x000a_Tihomir Bendelja" dataDxfId="896"/>
    <tableColumn id="34" xr3:uid="{3329DD44-B5CE-432D-BA55-F2B12C0AF445}" name="J2 (-)" dataDxfId="895"/>
    <tableColumn id="28" xr3:uid="{417863CC-A696-4342-B3BD-6858B3F8295A}" name="J2 TOTAL" dataDxfId="894">
      <calculatedColumnFormula>Majorette_Duo_PomponDuoTrio_Cadet[[#This Row],[Judge 2
Tihomir Bendelja]]-Majorette_Duo_PomponDuoTrio_Cadet[[#This Row],[J2 (-)]]</calculatedColumnFormula>
    </tableColumn>
    <tableColumn id="5" xr3:uid="{ABF0D163-81A7-4C4A-875C-07D2728FE274}" name="J2 (Rank)" dataDxfId="893">
      <calculatedColumnFormula>COUNTIFS(Majorette_Duo_PomponDuoTrio_Cadet[Age
Division],Majorette_Duo_PomponDuoTrio_Cadet[[#This Row],[Age
Division]],Majorette_Duo_PomponDuoTrio_Cadet[Category],Majorette_Duo_PomponDuoTrio_Cadet[[#This Row],[Category]],Majorette_Duo_PomponDuoTrio_Cadet[J2 TOTAL],"&gt;"&amp;Majorette_Duo_PomponDuoTrio_Cadet[[#This Row],[J2 TOTAL]])+1</calculatedColumnFormula>
    </tableColumn>
    <tableColumn id="17" xr3:uid="{0EBAEC38-AF9C-47C6-8936-1226420420EB}" name="Judge 3_x000a_Tea Softić" dataDxfId="892"/>
    <tableColumn id="35" xr3:uid="{E2E82A27-0400-48EA-9613-F6294ECA37D5}" name="J3 (-)" dataDxfId="891"/>
    <tableColumn id="30" xr3:uid="{3A5EFA46-7B8F-49A0-96E3-CE5699530C64}" name="J3 TOTAL" dataDxfId="890">
      <calculatedColumnFormula>Majorette_Duo_PomponDuoTrio_Cadet[[#This Row],[Judge 3
Tea Softić]]-R2</calculatedColumnFormula>
    </tableColumn>
    <tableColumn id="6" xr3:uid="{B51E24C1-BDEA-4D45-9E08-CF7DDB82CE42}" name="J3 (Rank)" dataDxfId="889">
      <calculatedColumnFormula>COUNTIFS(Majorette_Duo_PomponDuoTrio_Cadet[Age
Division],Majorette_Duo_PomponDuoTrio_Cadet[[#This Row],[Age
Division]],Majorette_Duo_PomponDuoTrio_Cadet[Category],Majorette_Duo_PomponDuoTrio_Cadet[[#This Row],[Category]],Majorette_Duo_PomponDuoTrio_Cadet[J3 TOTAL],"&gt;"&amp;Majorette_Duo_PomponDuoTrio_Cadet[[#This Row],[J3 TOTAL]])+1</calculatedColumnFormula>
    </tableColumn>
    <tableColumn id="18" xr3:uid="{1A3D5293-63DF-495C-800F-A349C4AF80FC}" name="Judge 4_x000a_Bernard Barač" dataDxfId="888"/>
    <tableColumn id="36" xr3:uid="{4544555D-AE26-4626-B329-8A93429C0554}" name="J4 (-)" dataDxfId="887"/>
    <tableColumn id="31" xr3:uid="{EA26FA40-2C65-427A-9DB3-475CB2413DFF}" name="J4 TOTAL" dataDxfId="886">
      <calculatedColumnFormula>Majorette_Duo_PomponDuoTrio_Cadet[[#This Row],[Judge 4
Bernard Barač]]-V2</calculatedColumnFormula>
    </tableColumn>
    <tableColumn id="7" xr3:uid="{557D5F13-6953-4030-97B1-26AE56B94BCC}" name="J4 (Rank)" dataDxfId="885">
      <calculatedColumnFormula>COUNTIFS(Majorette_Duo_PomponDuoTrio_Cadet[Age
Division],Majorette_Duo_PomponDuoTrio_Cadet[[#This Row],[Age
Division]],Majorette_Duo_PomponDuoTrio_Cadet[Category],Majorette_Duo_PomponDuoTrio_Cadet[[#This Row],[Category]],Majorette_Duo_PomponDuoTrio_Cadet[J4 TOTAL],"&gt;"&amp;Majorette_Duo_PomponDuoTrio_Cadet[[#This Row],[J4 TOTAL]])+1</calculatedColumnFormula>
    </tableColumn>
    <tableColumn id="12" xr3:uid="{AF71F801-676E-4B96-9B19-4EBD584976CE}" name="Judge 5_x000a_Barbara Novina" dataDxfId="884"/>
    <tableColumn id="11" xr3:uid="{43CB3E79-46E2-466F-ACFC-E504B95301B1}" name="J5 (-)" dataDxfId="883"/>
    <tableColumn id="10" xr3:uid="{717CBBB2-EEC4-4153-94D8-6452D7FC3577}" name="J5 TOTAL" dataDxfId="882">
      <calculatedColumnFormula>Majorette_Duo_PomponDuoTrio_Cadet[[#This Row],[Judge 5
Barbara Novina]]-Z2</calculatedColumnFormula>
    </tableColumn>
    <tableColumn id="2" xr3:uid="{61D9ED8F-0F9C-4100-9E11-D078A93BDAB3}" name="J5 (Rank)" dataDxfId="881">
      <calculatedColumnFormula>COUNTIFS(Majorette_Duo_PomponDuoTrio_Cadet[Age
Division],Majorette_Duo_PomponDuoTrio_Cadet[[#This Row],[Age
Division]],Majorette_Duo_PomponDuoTrio_Cadet[Category],Majorette_Duo_PomponDuoTrio_Cadet[[#This Row],[Category]],Majorette_Duo_PomponDuoTrio_Cadet[J5 TOTAL],"&gt;"&amp;Majorette_Duo_PomponDuoTrio_Cadet[[#This Row],[J5 TOTAL]])+1</calculatedColumnFormula>
    </tableColumn>
    <tableColumn id="20" xr3:uid="{F0BEC523-F894-40E6-A3CB-7EDA1E8053BC}" name="Total" dataDxfId="880">
      <calculatedColumnFormula>SUM(Majorette_Duo_PomponDuoTrio_Cadet[[#This Row],[J1 TOTAL]]+Majorette_Duo_PomponDuoTrio_Cadet[[#This Row],[J2 TOTAL]]+Majorette_Duo_PomponDuoTrio_Cadet[[#This Row],[J3 TOTAL]]+Majorette_Duo_PomponDuoTrio_Cadet[[#This Row],[J4 TOTAL]])+Majorette_Duo_PomponDuoTrio_Cadet[[#This Row],[J5 TOTAL]]</calculatedColumnFormula>
    </tableColumn>
    <tableColumn id="23" xr3:uid="{FE996A29-4E93-4E8B-915C-82910E59A09A}" name="Low" dataDxfId="879"/>
    <tableColumn id="19" xr3:uid="{E9D608CB-9838-44CC-8AA9-82365AC3127F}" name="High" dataDxfId="878"/>
    <tableColumn id="25" xr3:uid="{F7F74D6F-4EBF-415A-AC4E-A34F9250332C}" name="Final Total" dataDxfId="877">
      <calculatedColumnFormula>SUM(Majorette_Duo_PomponDuoTrio_Cadet[[#This Row],[Total]]-Majorette_Duo_PomponDuoTrio_Cadet[[#This Row],[Low]]-Majorette_Duo_PomponDuoTrio_Cadet[[#This Row],[High]])</calculatedColumnFormula>
    </tableColumn>
    <tableColumn id="24" xr3:uid="{324A629F-D370-4B81-ACEF-DD698F7F5BE5}" name="Avg" dataDxfId="876">
      <calculatedColumnFormula>AVERAGE(I2,M2,Q2,U2,Y2)</calculatedColumnFormula>
    </tableColumn>
    <tableColumn id="22" xr3:uid="{FE75227C-8BAC-463B-8F58-A22F5D7CDF49}" name="FINAL SCORE" dataDxfId="875">
      <calculatedColumnFormula>Majorette_Duo_PomponDuoTrio_Cadet[[#This Row],[Final Total]]</calculatedColumnFormula>
    </tableColumn>
    <tableColumn id="27" xr3:uid="{24074A0B-8255-4902-AFE6-364FD00BCEDA}" name="Rank" dataDxfId="874">
      <calculatedColumnFormula>COUNTIFS(Majorette_Duo_PomponDuoTrio_Cadet[Age
Division],Majorette_Duo_PomponDuoTrio_Cadet[[#This Row],[Age
Division]],Majorette_Duo_PomponDuoTrio_Cadet[Category],Majorette_Duo_PomponDuoTrio_Cadet[[#This Row],[Category]],Majorette_Duo_PomponDuoTrio_Cadet[FINAL SCORE],"&gt;"&amp;Majorette_Duo_PomponDuoTrio_Cadet[[#This Row],[FINAL SCORE]])+1</calculatedColumnFormula>
    </tableColumn>
    <tableColumn id="39" xr3:uid="{193800C7-BF6D-4530-84F2-AB0ED22A5AA0}" name="Category Type" dataDxfId="87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1D97CB6-2D44-4EA9-BFD1-4997F67AF78B}" name="Majorette_Duo_PomponDuoTrio_Junior" displayName="Majorette_Duo_PomponDuoTrio_Junior" ref="A1:AJ4" totalsRowShown="0" headerRowDxfId="834" dataDxfId="833">
  <autoFilter ref="A1:AJ4" xr:uid="{042C9DAD-4CB0-4D2A-8C87-3D9863992DF4}"/>
  <sortState xmlns:xlrd2="http://schemas.microsoft.com/office/spreadsheetml/2017/richdata2" ref="A2:AJ4">
    <sortCondition ref="AI1:AI4"/>
  </sortState>
  <tableColumns count="36">
    <tableColumn id="1" xr3:uid="{B43F75D9-33E2-412D-827D-274BF15FF86D}" name="Start No." dataDxfId="870"/>
    <tableColumn id="8" xr3:uid="{C0C76C82-D34D-46AD-9B1C-BD018E484E6D}" name="Lane" dataDxfId="869"/>
    <tableColumn id="9" xr3:uid="{4C7EA6B9-3D48-427D-BC8D-661AD56F8FC0}" name="Category" dataDxfId="868"/>
    <tableColumn id="32" xr3:uid="{63C55429-9745-49D6-9B29-7099311BF179}" name="Age_x000a_Division" dataDxfId="867"/>
    <tableColumn id="40" xr3:uid="{71167EFB-313B-42BF-A904-3A1D5C25B2E4}" name="Level" dataDxfId="866"/>
    <tableColumn id="4" xr3:uid="{09352FDC-C52A-455A-86C1-86C73428B7F1}" name="Athlete" dataDxfId="865"/>
    <tableColumn id="38" xr3:uid="{B62FBAE6-E4C8-4B6B-8C09-53B3604C6A9F}" name="Club" dataDxfId="864"/>
    <tableColumn id="37" xr3:uid="{FBF8A902-0916-4F28-99FA-209AA5CFE809}" name="Country" dataDxfId="863"/>
    <tableColumn id="15" xr3:uid="{92EF4042-995F-4CF9-81FD-700256158C06}" name="Judge 1_x000a_Tamara Beljak" dataDxfId="862"/>
    <tableColumn id="33" xr3:uid="{2FCA3302-FFF5-4E0A-992D-0455CC5DA47E}" name="J1 (-)" dataDxfId="861"/>
    <tableColumn id="26" xr3:uid="{76092CEC-881E-488C-81D4-8782A15AD650}" name="J1 TOTAL" dataDxfId="860">
      <calculatedColumnFormula>Majorette_Duo_PomponDuoTrio_Junior[[#This Row],[Judge 1
Tamara Beljak]]-J2</calculatedColumnFormula>
    </tableColumn>
    <tableColumn id="3" xr3:uid="{A23FD699-4FBB-4E7B-B7D8-FAE686E04773}" name="J1 (Rank)" dataDxfId="859">
      <calculatedColumnFormula>COUNTIFS(Majorette_Duo_PomponDuoTrio_Junior[Age
Division],Majorette_Duo_PomponDuoTrio_Junior[[#This Row],[Age
Division]],Majorette_Duo_PomponDuoTrio_Junior[Category],Majorette_Duo_PomponDuoTrio_Junior[[#This Row],[Category]],Majorette_Duo_PomponDuoTrio_Junior[J1 TOTAL],"&gt;"&amp;Majorette_Duo_PomponDuoTrio_Junior[[#This Row],[J1 TOTAL]])+1</calculatedColumnFormula>
    </tableColumn>
    <tableColumn id="16" xr3:uid="{0F9C4C37-4B2B-45E9-A2C2-9DF6B3CCEAC5}" name="Judge 2_x000a_Tihomir Bendelja" dataDxfId="858"/>
    <tableColumn id="34" xr3:uid="{67815B7D-A384-401F-ACC7-244508907D5C}" name="J2 (-)" dataDxfId="857"/>
    <tableColumn id="28" xr3:uid="{36832686-9A6A-4F72-AA57-3925F7224BC7}" name="J2 TOTAL" dataDxfId="856">
      <calculatedColumnFormula>Majorette_Duo_PomponDuoTrio_Junior[[#This Row],[Judge 2
Tihomir Bendelja]]-Majorette_Duo_PomponDuoTrio_Junior[[#This Row],[J2 (-)]]</calculatedColumnFormula>
    </tableColumn>
    <tableColumn id="5" xr3:uid="{797927D2-E648-4785-925A-798AF7D22A43}" name="J2 (Rank)" dataDxfId="855">
      <calculatedColumnFormula>COUNTIFS(Majorette_Duo_PomponDuoTrio_Junior[Age
Division],Majorette_Duo_PomponDuoTrio_Junior[[#This Row],[Age
Division]],Majorette_Duo_PomponDuoTrio_Junior[Category],Majorette_Duo_PomponDuoTrio_Junior[[#This Row],[Category]],Majorette_Duo_PomponDuoTrio_Junior[J2 TOTAL],"&gt;"&amp;Majorette_Duo_PomponDuoTrio_Junior[[#This Row],[J2 TOTAL]])+1</calculatedColumnFormula>
    </tableColumn>
    <tableColumn id="17" xr3:uid="{64C3F34E-02DE-4339-8B26-8A1BDA04F3D5}" name="Judge 3_x000a_Tea Softić" dataDxfId="854"/>
    <tableColumn id="35" xr3:uid="{03A39DAE-E34F-4BA7-B0B8-DD932A43517E}" name="J3 (-)" dataDxfId="853"/>
    <tableColumn id="30" xr3:uid="{CA5E8AFF-F915-42B0-A51B-657896A17492}" name="J3 TOTAL" dataDxfId="852">
      <calculatedColumnFormula>Majorette_Duo_PomponDuoTrio_Junior[[#This Row],[Judge 3
Tea Softić]]-R2</calculatedColumnFormula>
    </tableColumn>
    <tableColumn id="6" xr3:uid="{CF3CCBF0-A2DE-4AA7-8E8A-BFF3255AEEDB}" name="J3 (Rank)" dataDxfId="851">
      <calculatedColumnFormula>COUNTIFS(Majorette_Duo_PomponDuoTrio_Junior[Age
Division],Majorette_Duo_PomponDuoTrio_Junior[[#This Row],[Age
Division]],Majorette_Duo_PomponDuoTrio_Junior[Category],Majorette_Duo_PomponDuoTrio_Junior[[#This Row],[Category]],Majorette_Duo_PomponDuoTrio_Junior[J3 TOTAL],"&gt;"&amp;Majorette_Duo_PomponDuoTrio_Junior[[#This Row],[J3 TOTAL]])+1</calculatedColumnFormula>
    </tableColumn>
    <tableColumn id="18" xr3:uid="{B947C20E-003B-44C6-AC73-F2134098E677}" name="Judge 4_x000a_Bernard Barač" dataDxfId="850"/>
    <tableColumn id="36" xr3:uid="{EA4C7CC6-0C2D-4832-AFA8-8BB75C68284D}" name="J4 (-)" dataDxfId="849"/>
    <tableColumn id="31" xr3:uid="{8DA781B6-117C-41AD-87C9-328B385994A6}" name="J4 TOTAL" dataDxfId="848">
      <calculatedColumnFormula>Majorette_Duo_PomponDuoTrio_Junior[[#This Row],[Judge 4
Bernard Barač]]-V2</calculatedColumnFormula>
    </tableColumn>
    <tableColumn id="7" xr3:uid="{DE22E8F4-C6F5-4D5D-B2CF-D35155D68A1C}" name="J4 (Rank)" dataDxfId="847">
      <calculatedColumnFormula>COUNTIFS(Majorette_Duo_PomponDuoTrio_Junior[Age
Division],Majorette_Duo_PomponDuoTrio_Junior[[#This Row],[Age
Division]],Majorette_Duo_PomponDuoTrio_Junior[Category],Majorette_Duo_PomponDuoTrio_Junior[[#This Row],[Category]],Majorette_Duo_PomponDuoTrio_Junior[J4 TOTAL],"&gt;"&amp;Majorette_Duo_PomponDuoTrio_Junior[[#This Row],[J4 TOTAL]])+1</calculatedColumnFormula>
    </tableColumn>
    <tableColumn id="12" xr3:uid="{6968DD29-B18E-4ED9-ABF3-B38CD9E0E524}" name="Judge 5_x000a_Barbara Novina" dataDxfId="846"/>
    <tableColumn id="11" xr3:uid="{6242D9F7-FAEB-4505-999A-6230A91520CE}" name="J5 (-)" dataDxfId="845"/>
    <tableColumn id="10" xr3:uid="{02A44D1C-547C-493C-A89D-33B85CFD1CD7}" name="J5 TOTAL" dataDxfId="844">
      <calculatedColumnFormula>Majorette_Duo_PomponDuoTrio_Junior[[#This Row],[Judge 5
Barbara Novina]]-Z2</calculatedColumnFormula>
    </tableColumn>
    <tableColumn id="2" xr3:uid="{2A62FC58-425C-476B-9AB2-A56E6F3650DF}" name="J5 (Rank)" dataDxfId="843">
      <calculatedColumnFormula>COUNTIFS(Majorette_Duo_PomponDuoTrio_Junior[Age
Division],Majorette_Duo_PomponDuoTrio_Junior[[#This Row],[Age
Division]],Majorette_Duo_PomponDuoTrio_Junior[Category],Majorette_Duo_PomponDuoTrio_Junior[[#This Row],[Category]],Majorette_Duo_PomponDuoTrio_Junior[J5 TOTAL],"&gt;"&amp;Majorette_Duo_PomponDuoTrio_Junior[[#This Row],[J5 TOTAL]])+1</calculatedColumnFormula>
    </tableColumn>
    <tableColumn id="20" xr3:uid="{B750D93D-CF39-452E-9C43-E4882D84FAE0}" name="Total" dataDxfId="842">
      <calculatedColumnFormula>SUM(Majorette_Duo_PomponDuoTrio_Junior[[#This Row],[J1 TOTAL]]+Majorette_Duo_PomponDuoTrio_Junior[[#This Row],[J2 TOTAL]]+Majorette_Duo_PomponDuoTrio_Junior[[#This Row],[J3 TOTAL]]+Majorette_Duo_PomponDuoTrio_Junior[[#This Row],[J4 TOTAL]])+Majorette_Duo_PomponDuoTrio_Junior[[#This Row],[J5 TOTAL]]</calculatedColumnFormula>
    </tableColumn>
    <tableColumn id="23" xr3:uid="{5B9CB48B-531F-4B45-8E34-525D4FC76F22}" name="Low" dataDxfId="841"/>
    <tableColumn id="19" xr3:uid="{B346F70D-FEAD-400F-87E6-5338D4B8CF19}" name="High" dataDxfId="840"/>
    <tableColumn id="25" xr3:uid="{77224FD9-A8E0-4EEA-93B2-DB2A64085615}" name="Final Total" dataDxfId="839">
      <calculatedColumnFormula>SUM(Majorette_Duo_PomponDuoTrio_Junior[[#This Row],[Total]]-Majorette_Duo_PomponDuoTrio_Junior[[#This Row],[Low]]-Majorette_Duo_PomponDuoTrio_Junior[[#This Row],[High]])</calculatedColumnFormula>
    </tableColumn>
    <tableColumn id="24" xr3:uid="{85C7D75E-BBE9-4CFF-822D-668E745F3F78}" name="Avg" dataDxfId="838">
      <calculatedColumnFormula>AVERAGE(I2,M2,Q2,U2,Y2)</calculatedColumnFormula>
    </tableColumn>
    <tableColumn id="22" xr3:uid="{FFEE6F8C-44BA-48F5-AE8A-178492DEA34C}" name="FINAL SCORE" dataDxfId="837">
      <calculatedColumnFormula>Majorette_Duo_PomponDuoTrio_Junior[[#This Row],[Final Total]]</calculatedColumnFormula>
    </tableColumn>
    <tableColumn id="27" xr3:uid="{806CCDEB-3EFD-45ED-BB28-026318C7DE57}" name="Rank" dataDxfId="836">
      <calculatedColumnFormula>COUNTIFS(Majorette_Duo_PomponDuoTrio_Junior[Age
Division],Majorette_Duo_PomponDuoTrio_Junior[[#This Row],[Age
Division]],Majorette_Duo_PomponDuoTrio_Junior[Category],Majorette_Duo_PomponDuoTrio_Junior[[#This Row],[Category]],Majorette_Duo_PomponDuoTrio_Junior[FINAL SCORE],"&gt;"&amp;Majorette_Duo_PomponDuoTrio_Junior[[#This Row],[FINAL SCORE]])+1</calculatedColumnFormula>
    </tableColumn>
    <tableColumn id="39" xr3:uid="{B21EFD2E-774B-48B0-9DDB-75675FF9245C}" name="Category Type" dataDxfId="835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F2A132B-CB72-4B57-85EB-31FDF9535409}" name="Majorette_Duo_PomponDuoTrio_Senior" displayName="Majorette_Duo_PomponDuoTrio_Senior" ref="A1:AJ4" totalsRowShown="0" headerRowDxfId="796" dataDxfId="795">
  <autoFilter ref="A1:AJ4" xr:uid="{042C9DAD-4CB0-4D2A-8C87-3D9863992DF4}"/>
  <sortState xmlns:xlrd2="http://schemas.microsoft.com/office/spreadsheetml/2017/richdata2" ref="A2:AJ4">
    <sortCondition ref="AI1:AI4"/>
  </sortState>
  <tableColumns count="36">
    <tableColumn id="1" xr3:uid="{4F50BB2E-9F17-4CB4-BD16-9495C38D6D8C}" name="Start No." dataDxfId="832"/>
    <tableColumn id="8" xr3:uid="{9D518AA4-75CC-4430-9BC7-A2B7AA319093}" name="Lane" dataDxfId="831"/>
    <tableColumn id="9" xr3:uid="{CF5FE570-5AC4-484B-8766-0EA2586126A7}" name="Category" dataDxfId="830"/>
    <tableColumn id="32" xr3:uid="{D4FD9A6D-6077-41FA-942D-E3BAEA841EAF}" name="Age_x000a_Division" dataDxfId="829"/>
    <tableColumn id="40" xr3:uid="{A5286AFA-BC61-4203-A5F7-D38C6AF8E3F7}" name="Level" dataDxfId="828"/>
    <tableColumn id="4" xr3:uid="{C818FFEE-2C17-4E2C-B69E-4828AD58ABE1}" name="Athlete" dataDxfId="827"/>
    <tableColumn id="38" xr3:uid="{90173468-C888-465D-A2BF-0349E3657743}" name="Club" dataDxfId="826"/>
    <tableColumn id="37" xr3:uid="{6E1B2A1A-14F2-4867-903F-DCEDA7110396}" name="Country" dataDxfId="825"/>
    <tableColumn id="15" xr3:uid="{95CD0EF3-B2D2-49BA-8654-56E363E002F0}" name="Judge 1_x000a_Tamara Beljak" dataDxfId="824"/>
    <tableColumn id="33" xr3:uid="{204B9AB5-16A7-4E1C-873F-D52601F2F3EB}" name="J1 (-)" dataDxfId="823"/>
    <tableColumn id="26" xr3:uid="{C5AB72C3-F9C4-46EE-9281-8E229FE54569}" name="J1 TOTAL" dataDxfId="822">
      <calculatedColumnFormula>Majorette_Duo_PomponDuoTrio_Senior[[#This Row],[Judge 1
Tamara Beljak]]-J2</calculatedColumnFormula>
    </tableColumn>
    <tableColumn id="3" xr3:uid="{FB19C0B9-CA18-48A2-90B4-DA749CB4498B}" name="J1 (Rank)" dataDxfId="821">
      <calculatedColumnFormula>COUNTIFS(Majorette_Duo_PomponDuoTrio_Senior[Age
Division],Majorette_Duo_PomponDuoTrio_Senior[[#This Row],[Age
Division]],Majorette_Duo_PomponDuoTrio_Senior[Category],Majorette_Duo_PomponDuoTrio_Senior[[#This Row],[Category]],Majorette_Duo_PomponDuoTrio_Senior[J1 TOTAL],"&gt;"&amp;Majorette_Duo_PomponDuoTrio_Senior[[#This Row],[J1 TOTAL]])+1</calculatedColumnFormula>
    </tableColumn>
    <tableColumn id="16" xr3:uid="{C8375A57-E3D6-4290-B94D-2BD566EF9FCB}" name="Judge 2_x000a_Tihomir Bendelja" dataDxfId="820"/>
    <tableColumn id="34" xr3:uid="{6E748C38-4C16-4587-9FB3-D07152232847}" name="J2 (-)" dataDxfId="819"/>
    <tableColumn id="28" xr3:uid="{8EA0455D-9D91-463B-93AE-654D5D024381}" name="J2 TOTAL" dataDxfId="818">
      <calculatedColumnFormula>Majorette_Duo_PomponDuoTrio_Senior[[#This Row],[Judge 2
Tihomir Bendelja]]-Majorette_Duo_PomponDuoTrio_Senior[[#This Row],[J2 (-)]]</calculatedColumnFormula>
    </tableColumn>
    <tableColumn id="5" xr3:uid="{BF341B5B-6B1C-474D-9404-4DAEDC0EB8D6}" name="J2 (Rank)" dataDxfId="817">
      <calculatedColumnFormula>COUNTIFS(Majorette_Duo_PomponDuoTrio_Senior[Age
Division],Majorette_Duo_PomponDuoTrio_Senior[[#This Row],[Age
Division]],Majorette_Duo_PomponDuoTrio_Senior[Category],Majorette_Duo_PomponDuoTrio_Senior[[#This Row],[Category]],Majorette_Duo_PomponDuoTrio_Senior[J2 TOTAL],"&gt;"&amp;Majorette_Duo_PomponDuoTrio_Senior[[#This Row],[J2 TOTAL]])+1</calculatedColumnFormula>
    </tableColumn>
    <tableColumn id="17" xr3:uid="{4F46CA49-A330-4DC0-927C-8F508AADA7F9}" name="Judge 3_x000a_Tea Softić" dataDxfId="816"/>
    <tableColumn id="35" xr3:uid="{AD72567A-AA94-4C4A-89DD-37F439122D16}" name="J3 (-)" dataDxfId="815"/>
    <tableColumn id="30" xr3:uid="{29721E9C-F9FA-499D-9FBB-3540D2637F94}" name="J3 TOTAL" dataDxfId="814">
      <calculatedColumnFormula>Majorette_Duo_PomponDuoTrio_Senior[[#This Row],[Judge 3
Tea Softić]]-R2</calculatedColumnFormula>
    </tableColumn>
    <tableColumn id="6" xr3:uid="{78FE83FC-EB5E-4AB9-9FD6-8FFFCF86308F}" name="J3 (Rank)" dataDxfId="813">
      <calculatedColumnFormula>COUNTIFS(Majorette_Duo_PomponDuoTrio_Senior[Age
Division],Majorette_Duo_PomponDuoTrio_Senior[[#This Row],[Age
Division]],Majorette_Duo_PomponDuoTrio_Senior[Category],Majorette_Duo_PomponDuoTrio_Senior[[#This Row],[Category]],Majorette_Duo_PomponDuoTrio_Senior[J3 TOTAL],"&gt;"&amp;Majorette_Duo_PomponDuoTrio_Senior[[#This Row],[J3 TOTAL]])+1</calculatedColumnFormula>
    </tableColumn>
    <tableColumn id="18" xr3:uid="{358E41F5-BB7D-4606-A647-50DA1372F24D}" name="Judge 4_x000a_Bernard Barač" dataDxfId="812"/>
    <tableColumn id="36" xr3:uid="{98EB6AC2-3A4E-4324-9026-AE02FAFC1808}" name="J4 (-)" dataDxfId="811"/>
    <tableColumn id="31" xr3:uid="{E77A7BB1-9BE3-4CB2-BCB2-0D25688832A0}" name="J4 TOTAL" dataDxfId="810">
      <calculatedColumnFormula>Majorette_Duo_PomponDuoTrio_Senior[[#This Row],[Judge 4
Bernard Barač]]-V2</calculatedColumnFormula>
    </tableColumn>
    <tableColumn id="7" xr3:uid="{CDE54297-B657-4DDA-A4E7-81D213A543EA}" name="J4 (Rank)" dataDxfId="809">
      <calculatedColumnFormula>COUNTIFS(Majorette_Duo_PomponDuoTrio_Senior[Age
Division],Majorette_Duo_PomponDuoTrio_Senior[[#This Row],[Age
Division]],Majorette_Duo_PomponDuoTrio_Senior[Category],Majorette_Duo_PomponDuoTrio_Senior[[#This Row],[Category]],Majorette_Duo_PomponDuoTrio_Senior[J4 TOTAL],"&gt;"&amp;Majorette_Duo_PomponDuoTrio_Senior[[#This Row],[J4 TOTAL]])+1</calculatedColumnFormula>
    </tableColumn>
    <tableColumn id="12" xr3:uid="{28D68EF2-90BF-4235-BB44-E0A2CFDBF754}" name="Judge 5_x000a_Barbara Novina" dataDxfId="808"/>
    <tableColumn id="11" xr3:uid="{B0940182-77C6-4268-AD90-54423B3D22C8}" name="J5 (-)" dataDxfId="807"/>
    <tableColumn id="10" xr3:uid="{780F8194-24FE-4578-B4EB-A5091BBA5047}" name="J5 TOTAL" dataDxfId="806">
      <calculatedColumnFormula>Majorette_Duo_PomponDuoTrio_Senior[[#This Row],[Judge 5
Barbara Novina]]-Z2</calculatedColumnFormula>
    </tableColumn>
    <tableColumn id="2" xr3:uid="{78F79503-2E4C-4643-9A50-1F2BD268DB22}" name="J5 (Rank)" dataDxfId="805">
      <calculatedColumnFormula>COUNTIFS(Majorette_Duo_PomponDuoTrio_Senior[Age
Division],Majorette_Duo_PomponDuoTrio_Senior[[#This Row],[Age
Division]],Majorette_Duo_PomponDuoTrio_Senior[Category],Majorette_Duo_PomponDuoTrio_Senior[[#This Row],[Category]],Majorette_Duo_PomponDuoTrio_Senior[J5 TOTAL],"&gt;"&amp;Majorette_Duo_PomponDuoTrio_Senior[[#This Row],[J5 TOTAL]])+1</calculatedColumnFormula>
    </tableColumn>
    <tableColumn id="20" xr3:uid="{81AFD459-8543-4192-B160-4B86660F745C}" name="Total" dataDxfId="804">
      <calculatedColumnFormula>SUM(Majorette_Duo_PomponDuoTrio_Senior[[#This Row],[J1 TOTAL]]+Majorette_Duo_PomponDuoTrio_Senior[[#This Row],[J2 TOTAL]]+Majorette_Duo_PomponDuoTrio_Senior[[#This Row],[J3 TOTAL]]+Majorette_Duo_PomponDuoTrio_Senior[[#This Row],[J4 TOTAL]])+Majorette_Duo_PomponDuoTrio_Senior[[#This Row],[J5 TOTAL]]</calculatedColumnFormula>
    </tableColumn>
    <tableColumn id="23" xr3:uid="{BD4BBDB5-893B-46F2-B003-4BC39479CEA8}" name="Low" dataDxfId="803"/>
    <tableColumn id="19" xr3:uid="{4FDA27A4-E2BB-42B2-802F-8CAAEDA0DBAC}" name="High" dataDxfId="802"/>
    <tableColumn id="25" xr3:uid="{27CC2751-DE7B-48AC-B037-ABFCFC014C6A}" name="Final Total" dataDxfId="801">
      <calculatedColumnFormula>SUM(Majorette_Duo_PomponDuoTrio_Senior[[#This Row],[Total]]-Majorette_Duo_PomponDuoTrio_Senior[[#This Row],[Low]]-Majorette_Duo_PomponDuoTrio_Senior[[#This Row],[High]])</calculatedColumnFormula>
    </tableColumn>
    <tableColumn id="24" xr3:uid="{A656198E-1833-437D-BE3D-A2C239A25F20}" name="Avg" dataDxfId="800">
      <calculatedColumnFormula>AVERAGE(I2,M2,Q2,U2,Y2)</calculatedColumnFormula>
    </tableColumn>
    <tableColumn id="22" xr3:uid="{63032EB8-DF2C-4E89-890C-CFC643C96D20}" name="FINAL SCORE" dataDxfId="799">
      <calculatedColumnFormula>Majorette_Duo_PomponDuoTrio_Senior[[#This Row],[Final Total]]</calculatedColumnFormula>
    </tableColumn>
    <tableColumn id="27" xr3:uid="{201715F7-BB81-435B-AD09-664B5B4EF25A}" name="Rank" dataDxfId="798">
      <calculatedColumnFormula>COUNTIFS(Majorette_Duo_PomponDuoTrio_Senior[Age
Division],Majorette_Duo_PomponDuoTrio_Senior[[#This Row],[Age
Division]],Majorette_Duo_PomponDuoTrio_Senior[Category],Majorette_Duo_PomponDuoTrio_Senior[[#This Row],[Category]],Majorette_Duo_PomponDuoTrio_Senior[FINAL SCORE],"&gt;"&amp;Majorette_Duo_PomponDuoTrio_Senior[[#This Row],[FINAL SCORE]])+1</calculatedColumnFormula>
    </tableColumn>
    <tableColumn id="39" xr3:uid="{CAEF1A10-4543-4123-AEB4-A6AB95EDC160}" name="Category Type" dataDxfId="79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C7778A6-085A-4B53-B553-2674304A2AF1}" name="Majorette_Group_TraditionalMajoretteGroup_Mini" displayName="Majorette_Group_TraditionalMajoretteGroup_Mini" ref="A1:AJ2" totalsRowShown="0" headerRowDxfId="720" dataDxfId="719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753C7788-6863-4246-A4E9-7D681D558192}" name="Start No." dataDxfId="756"/>
    <tableColumn id="8" xr3:uid="{3AF84F27-E41E-446A-9A5B-92F43070CC74}" name="Lane" dataDxfId="755"/>
    <tableColumn id="9" xr3:uid="{809DB160-A2FD-4EEE-B890-FFDFAE7C512B}" name="Category" dataDxfId="754"/>
    <tableColumn id="32" xr3:uid="{AF74D8E3-7C06-49C7-A6F7-7ADB026F253A}" name="Age_x000a_Division" dataDxfId="753"/>
    <tableColumn id="40" xr3:uid="{4AFE3CA2-EC30-41B6-B116-F9B11BB1AA78}" name="Level" dataDxfId="752"/>
    <tableColumn id="4" xr3:uid="{70866BF3-8523-4ED6-9E2A-93EE31307697}" name="Athlete" dataDxfId="751"/>
    <tableColumn id="38" xr3:uid="{8E0B529A-D8EA-42A0-8437-9B4943800169}" name="Club" dataDxfId="750"/>
    <tableColumn id="37" xr3:uid="{F3AC9933-0545-45B1-81C3-B80DBB941DDE}" name="Country" dataDxfId="749"/>
    <tableColumn id="15" xr3:uid="{A951A763-6B14-41D3-ABA6-023BBC4E6EBA}" name="Judge 1_x000a_Tamara Beljak" dataDxfId="748"/>
    <tableColumn id="33" xr3:uid="{6BAC6648-B8EC-4262-999F-4686DDF65F38}" name="J1 (-)" dataDxfId="747"/>
    <tableColumn id="26" xr3:uid="{76554948-11E8-488B-9A6D-70942EF3D43E}" name="J1 TOTAL" dataDxfId="746">
      <calculatedColumnFormula>Majorette_Group_TraditionalMajoretteGroup_Mini[[#This Row],[Judge 1
Tamara Beljak]]-J2</calculatedColumnFormula>
    </tableColumn>
    <tableColumn id="3" xr3:uid="{DD3B85CD-2027-4118-95B1-3CD600B01D77}" name="J1 (Rank)" dataDxfId="745">
      <calculatedColumnFormula>COUNTIFS(Majorette_Group_TraditionalMajoretteGroup_Mini[Age
Division],Majorette_Group_TraditionalMajoretteGroup_Mini[[#This Row],[Age
Division]],Majorette_Group_TraditionalMajoretteGroup_Mini[Category],Majorette_Group_TraditionalMajoretteGroup_Mini[[#This Row],[Category]],Majorette_Group_TraditionalMajoretteGroup_Mini[J1 TOTAL],"&gt;"&amp;Majorette_Group_TraditionalMajoretteGroup_Mini[[#This Row],[J1 TOTAL]])+1</calculatedColumnFormula>
    </tableColumn>
    <tableColumn id="16" xr3:uid="{0ADF6998-F288-40B2-B847-425ACE8027D5}" name="Judge 2_x000a_Tihomir Bendelja" dataDxfId="744"/>
    <tableColumn id="34" xr3:uid="{9EEBB5BB-181F-49F6-91C0-44BCC054455F}" name="J2 (-)" dataDxfId="743"/>
    <tableColumn id="28" xr3:uid="{9DF6C077-28F8-4504-BB3C-3F212CAB1F5A}" name="J2 TOTAL" dataDxfId="742">
      <calculatedColumnFormula>Majorette_Group_TraditionalMajoretteGroup_Mini[[#This Row],[Judge 2
Tihomir Bendelja]]-Majorette_Group_TraditionalMajoretteGroup_Mini[[#This Row],[J2 (-)]]</calculatedColumnFormula>
    </tableColumn>
    <tableColumn id="5" xr3:uid="{CDE7F483-8056-4363-94E7-F14D4F496FD2}" name="J2 (Rank)" dataDxfId="741">
      <calculatedColumnFormula>COUNTIFS(Majorette_Group_TraditionalMajoretteGroup_Mini[Age
Division],Majorette_Group_TraditionalMajoretteGroup_Mini[[#This Row],[Age
Division]],Majorette_Group_TraditionalMajoretteGroup_Mini[Category],Majorette_Group_TraditionalMajoretteGroup_Mini[[#This Row],[Category]],Majorette_Group_TraditionalMajoretteGroup_Mini[J2 TOTAL],"&gt;"&amp;Majorette_Group_TraditionalMajoretteGroup_Mini[[#This Row],[J2 TOTAL]])+1</calculatedColumnFormula>
    </tableColumn>
    <tableColumn id="17" xr3:uid="{DCC0108A-944D-497A-8FCB-9DFDF12C68CF}" name="Judge 3_x000a_Tea Softić" dataDxfId="740"/>
    <tableColumn id="35" xr3:uid="{B0D7C95F-874E-44AE-9ADA-58D0EF5462B8}" name="J3 (-)" dataDxfId="739"/>
    <tableColumn id="30" xr3:uid="{775C4848-0ACD-4AB0-AB3F-13E01D33386F}" name="J3 TOTAL" dataDxfId="738">
      <calculatedColumnFormula>Majorette_Group_TraditionalMajoretteGroup_Mini[[#This Row],[Judge 3
Tea Softić]]-R2</calculatedColumnFormula>
    </tableColumn>
    <tableColumn id="6" xr3:uid="{BD6A75B7-E060-4C9A-AA0C-EE8EF99877BB}" name="J3 (Rank)" dataDxfId="737">
      <calculatedColumnFormula>COUNTIFS(Majorette_Group_TraditionalMajoretteGroup_Mini[Age
Division],Majorette_Group_TraditionalMajoretteGroup_Mini[[#This Row],[Age
Division]],Majorette_Group_TraditionalMajoretteGroup_Mini[Category],Majorette_Group_TraditionalMajoretteGroup_Mini[[#This Row],[Category]],Majorette_Group_TraditionalMajoretteGroup_Mini[J3 TOTAL],"&gt;"&amp;Majorette_Group_TraditionalMajoretteGroup_Mini[[#This Row],[J3 TOTAL]])+1</calculatedColumnFormula>
    </tableColumn>
    <tableColumn id="18" xr3:uid="{2653E4F2-9CC9-46C5-90A0-4435365E3026}" name="Judge 4_x000a_Bernard Barač" dataDxfId="736"/>
    <tableColumn id="36" xr3:uid="{C463D0B7-C11B-4419-850E-111D6E4F30BF}" name="J4 (-)" dataDxfId="735"/>
    <tableColumn id="31" xr3:uid="{465A4EDF-2018-4402-ABDF-985FC64E438C}" name="J4 TOTAL" dataDxfId="734">
      <calculatedColumnFormula>Majorette_Group_TraditionalMajoretteGroup_Mini[[#This Row],[Judge 4
Bernard Barač]]-V2</calculatedColumnFormula>
    </tableColumn>
    <tableColumn id="7" xr3:uid="{ABB06561-8132-43EC-B8DD-F1B2B1DE011F}" name="J4 (Rank)" dataDxfId="733">
      <calculatedColumnFormula>COUNTIFS(Majorette_Group_TraditionalMajoretteGroup_Mini[Age
Division],Majorette_Group_TraditionalMajoretteGroup_Mini[[#This Row],[Age
Division]],Majorette_Group_TraditionalMajoretteGroup_Mini[Category],Majorette_Group_TraditionalMajoretteGroup_Mini[[#This Row],[Category]],Majorette_Group_TraditionalMajoretteGroup_Mini[J4 TOTAL],"&gt;"&amp;Majorette_Group_TraditionalMajoretteGroup_Mini[[#This Row],[J4 TOTAL]])+1</calculatedColumnFormula>
    </tableColumn>
    <tableColumn id="12" xr3:uid="{3A540CF5-3649-4220-B1F7-55C301110EC9}" name="Judge 5_x000a_Barbara Novina" dataDxfId="732"/>
    <tableColumn id="11" xr3:uid="{FE09DCED-B5F8-4F33-B7C1-F8340253731C}" name="J5 (-)" dataDxfId="731"/>
    <tableColumn id="10" xr3:uid="{B0401035-03C4-41BA-9274-6F700C033DD5}" name="J5 TOTAL" dataDxfId="730">
      <calculatedColumnFormula>Majorette_Group_TraditionalMajoretteGroup_Mini[[#This Row],[Judge 5
Barbara Novina]]-Z2</calculatedColumnFormula>
    </tableColumn>
    <tableColumn id="2" xr3:uid="{083C2E54-0B85-4A6F-957F-A280D3E1E86C}" name="J5 (Rank)" dataDxfId="729">
      <calculatedColumnFormula>COUNTIFS(Majorette_Group_TraditionalMajoretteGroup_Mini[Age
Division],Majorette_Group_TraditionalMajoretteGroup_Mini[[#This Row],[Age
Division]],Majorette_Group_TraditionalMajoretteGroup_Mini[Category],Majorette_Group_TraditionalMajoretteGroup_Mini[[#This Row],[Category]],Majorette_Group_TraditionalMajoretteGroup_Mini[J5 TOTAL],"&gt;"&amp;Majorette_Group_TraditionalMajoretteGroup_Mini[[#This Row],[J5 TOTAL]])+1</calculatedColumnFormula>
    </tableColumn>
    <tableColumn id="20" xr3:uid="{CF9B91D7-DCCC-47F5-B354-44F6E64BEBD7}" name="Total" dataDxfId="728">
      <calculatedColumnFormula>SUM(Majorette_Group_TraditionalMajoretteGroup_Mini[[#This Row],[J1 TOTAL]]+Majorette_Group_TraditionalMajoretteGroup_Mini[[#This Row],[J2 TOTAL]]+Majorette_Group_TraditionalMajoretteGroup_Mini[[#This Row],[J3 TOTAL]]+Majorette_Group_TraditionalMajoretteGroup_Mini[[#This Row],[J4 TOTAL]])+Majorette_Group_TraditionalMajoretteGroup_Mini[[#This Row],[J5 TOTAL]]</calculatedColumnFormula>
    </tableColumn>
    <tableColumn id="23" xr3:uid="{10AEC29C-B87C-4289-9CB2-9FC020D1DE9E}" name="Low" dataDxfId="727">
      <calculatedColumnFormula>MIN(Majorette_Group_TraditionalMajoretteGroup_Mini[[#This Row],[J1 TOTAL]],Majorette_Group_TraditionalMajoretteGroup_Mini[[#This Row],[J2 TOTAL]],Majorette_Group_TraditionalMajoretteGroup_Mini[[#This Row],[J3 TOTAL]],Majorette_Group_TraditionalMajoretteGroup_Mini[[#This Row],[J4 TOTAL]],Majorette_Group_TraditionalMajoretteGroup_Mini[[#This Row],[J5 TOTAL]])</calculatedColumnFormula>
    </tableColumn>
    <tableColumn id="19" xr3:uid="{AFCA6AA4-FBDC-413A-934F-5198EE955B8D}" name="High" dataDxfId="726">
      <calculatedColumnFormula>MAX(Majorette_Group_TraditionalMajoretteGroup_Mini[[#This Row],[J1 TOTAL]],Majorette_Group_TraditionalMajoretteGroup_Mini[[#This Row],[J2 TOTAL]],Majorette_Group_TraditionalMajoretteGroup_Mini[[#This Row],[J3 TOTAL]],Majorette_Group_TraditionalMajoretteGroup_Mini[[#This Row],[J4 TOTAL]],Majorette_Group_TraditionalMajoretteGroup_Mini[[#This Row],[J5 TOTAL]],)</calculatedColumnFormula>
    </tableColumn>
    <tableColumn id="25" xr3:uid="{BB76D69A-515E-43E3-8688-B71C13E2F37A}" name="Final Total" dataDxfId="725">
      <calculatedColumnFormula>SUM(Majorette_Group_TraditionalMajoretteGroup_Mini[[#This Row],[Total]]-Majorette_Group_TraditionalMajoretteGroup_Mini[[#This Row],[Low]]-Majorette_Group_TraditionalMajoretteGroup_Mini[[#This Row],[High]])</calculatedColumnFormula>
    </tableColumn>
    <tableColumn id="24" xr3:uid="{3BD6585C-34F2-4051-A1DB-4D97895FF593}" name="Avg" dataDxfId="724">
      <calculatedColumnFormula>AVERAGE(I2,M2,Q2,U2,Y2)</calculatedColumnFormula>
    </tableColumn>
    <tableColumn id="22" xr3:uid="{8F294769-CCB5-4D08-8CD5-7489115C5E5D}" name="FINAL SCORE" dataDxfId="723">
      <calculatedColumnFormula>Majorette_Group_TraditionalMajoretteGroup_Mini[[#This Row],[Final Total]]</calculatedColumnFormula>
    </tableColumn>
    <tableColumn id="27" xr3:uid="{5033E904-643D-47CE-8D1B-708DD276760D}" name="Rank" dataDxfId="722">
      <calculatedColumnFormula>COUNTIFS(Majorette_Group_TraditionalMajoretteGroup_Mini[Age
Division],Majorette_Group_TraditionalMajoretteGroup_Mini[[#This Row],[Age
Division]],Majorette_Group_TraditionalMajoretteGroup_Mini[Category],Majorette_Group_TraditionalMajoretteGroup_Mini[[#This Row],[Category]],Majorette_Group_TraditionalMajoretteGroup_Mini[FINAL SCORE],"&gt;"&amp;Majorette_Group_TraditionalMajoretteGroup_Mini[[#This Row],[FINAL SCORE]])+1</calculatedColumnFormula>
    </tableColumn>
    <tableColumn id="39" xr3:uid="{21567CB1-FA98-4148-ADC8-ECE2B894539A}" name="Category Type" dataDxfId="721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44E8CA7-E980-4752-B350-F4945659F17E}" name="Majorette_Group_ModernMajoretteTeam_Children" displayName="Majorette_Group_ModernMajoretteTeam_Children" ref="A1:AJ3" totalsRowShown="0" headerRowDxfId="758" dataDxfId="757">
  <autoFilter ref="A1:AJ3" xr:uid="{042C9DAD-4CB0-4D2A-8C87-3D9863992DF4}"/>
  <sortState xmlns:xlrd2="http://schemas.microsoft.com/office/spreadsheetml/2017/richdata2" ref="A2:AJ2">
    <sortCondition ref="AI1:AI2"/>
  </sortState>
  <tableColumns count="36">
    <tableColumn id="1" xr3:uid="{605F5AB5-3ACB-4992-AB5E-3210C4DA471B}" name="Start No." dataDxfId="794"/>
    <tableColumn id="8" xr3:uid="{3E91847B-F276-4AB2-986B-A7D7C527026A}" name="Lane" dataDxfId="793"/>
    <tableColumn id="9" xr3:uid="{AE85A05E-E777-49D9-A195-0D43FB9A91DA}" name="Category" dataDxfId="792"/>
    <tableColumn id="32" xr3:uid="{456B9230-0764-426B-81E7-3B01928AAC9F}" name="Age_x000a_Division" dataDxfId="791"/>
    <tableColumn id="40" xr3:uid="{434EBEFC-5C78-4DBD-A427-874FE380767F}" name="Level" dataDxfId="790"/>
    <tableColumn id="4" xr3:uid="{8897EF16-73DB-4BFC-9921-9C60083DEDF6}" name="Athlete" dataDxfId="789"/>
    <tableColumn id="38" xr3:uid="{CA41F8F7-4947-419C-8A1D-E3B2635BF3BE}" name="Club" dataDxfId="788"/>
    <tableColumn id="37" xr3:uid="{ABDE18AC-261F-4E36-8A45-993C62225B49}" name="Country" dataDxfId="787"/>
    <tableColumn id="15" xr3:uid="{166D2ED7-3CBD-43E1-928A-C301E1E839E8}" name="Judge 1_x000a_Tamara Beljak" dataDxfId="786"/>
    <tableColumn id="33" xr3:uid="{DE792819-FB13-418E-AA52-A1B6A590F9C9}" name="J1 (-)" dataDxfId="785"/>
    <tableColumn id="26" xr3:uid="{510B52CA-F113-44B2-A15C-A6135A435FD3}" name="J1 TOTAL" dataDxfId="784">
      <calculatedColumnFormula>Majorette_Group_ModernMajoretteTeam_Children[[#This Row],[Judge 1
Tamara Beljak]]-J2</calculatedColumnFormula>
    </tableColumn>
    <tableColumn id="3" xr3:uid="{9EB7AA3A-E191-4DEF-A9F1-FDA4BF306D1B}" name="J1 (Rank)" dataDxfId="783">
      <calculatedColumnFormula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Row],[Category]],Majorette_Group_ModernMajoretteTeam_Children[J1 TOTAL],"&gt;"&amp;Majorette_Group_ModernMajoretteTeam_Children[[#This Row],[J1 TOTAL]])+1</calculatedColumnFormula>
    </tableColumn>
    <tableColumn id="16" xr3:uid="{952A2A16-CDD3-44A5-AE47-DE6113990D96}" name="Judge 2_x000a_Tihomir Bendelja" dataDxfId="782"/>
    <tableColumn id="34" xr3:uid="{156CC589-7904-4A0E-B7A1-BF796E92279B}" name="J2 (-)" dataDxfId="781"/>
    <tableColumn id="28" xr3:uid="{45DFB59F-EB2D-4D7F-961B-74E832FA1F60}" name="J2 TOTAL" dataDxfId="780">
      <calculatedColumnFormula>Majorette_Group_ModernMajoretteTeam_Children[[#This Row],[Judge 2
Tihomir Bendelja]]-Majorette_Group_ModernMajoretteTeam_Children[[#This Row],[J2 (-)]]</calculatedColumnFormula>
    </tableColumn>
    <tableColumn id="5" xr3:uid="{B61CE891-ADBD-4A43-B8E8-D071753FF7C9}" name="J2 (Rank)" dataDxfId="779">
      <calculatedColumnFormula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Row],[Category]],Majorette_Group_ModernMajoretteTeam_Children[J2 TOTAL],"&gt;"&amp;Majorette_Group_ModernMajoretteTeam_Children[[#This Row],[J2 TOTAL]])+1</calculatedColumnFormula>
    </tableColumn>
    <tableColumn id="17" xr3:uid="{D3010085-4ECF-4BDA-B5CF-051B492AF18B}" name="Judge 3_x000a_Tea Softić" dataDxfId="778"/>
    <tableColumn id="35" xr3:uid="{8255A254-5043-4B37-8FD6-C9F6AC4E9994}" name="J3 (-)" dataDxfId="777"/>
    <tableColumn id="30" xr3:uid="{69111382-0F87-4169-89A6-00CBF660A6AF}" name="J3 TOTAL" dataDxfId="776">
      <calculatedColumnFormula>Majorette_Group_ModernMajoretteTeam_Children[[#This Row],[Judge 3
Tea Softić]]-R2</calculatedColumnFormula>
    </tableColumn>
    <tableColumn id="6" xr3:uid="{6C4A4D27-5AEE-4954-96EF-514568B365E8}" name="J3 (Rank)" dataDxfId="775">
      <calculatedColumnFormula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Row],[Category]],Majorette_Group_ModernMajoretteTeam_Children[J3 TOTAL],"&gt;"&amp;Majorette_Group_ModernMajoretteTeam_Children[[#This Row],[J3 TOTAL]])+1</calculatedColumnFormula>
    </tableColumn>
    <tableColumn id="18" xr3:uid="{9E4AFFB1-3033-4A7A-8E18-3FE485A46D03}" name="Judge 4_x000a_Bernard Barač" dataDxfId="774"/>
    <tableColumn id="36" xr3:uid="{D29BBEC9-61AE-4C30-AA70-42BF2AF37402}" name="J4 (-)" dataDxfId="773"/>
    <tableColumn id="31" xr3:uid="{467250E5-0025-45D8-A31B-D672A36AC797}" name="J4 TOTAL" dataDxfId="772">
      <calculatedColumnFormula>Majorette_Group_ModernMajoretteTeam_Children[[#This Row],[Judge 4
Bernard Barač]]-V2</calculatedColumnFormula>
    </tableColumn>
    <tableColumn id="7" xr3:uid="{76E55272-61DE-4407-96F1-015BC03E9F5C}" name="J4 (Rank)" dataDxfId="771">
      <calculatedColumnFormula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Row],[Category]],Majorette_Group_ModernMajoretteTeam_Children[J4 TOTAL],"&gt;"&amp;Majorette_Group_ModernMajoretteTeam_Children[[#This Row],[J4 TOTAL]])+1</calculatedColumnFormula>
    </tableColumn>
    <tableColumn id="12" xr3:uid="{D72DCAF5-64CB-4686-92C5-CFC089936855}" name="Judge 5_x000a_Barbara Novina" dataDxfId="770"/>
    <tableColumn id="11" xr3:uid="{031DC12F-7121-425D-90CB-0EAAC55D6190}" name="J5 (-)" dataDxfId="769"/>
    <tableColumn id="10" xr3:uid="{A78861EA-43CE-429A-9C13-1B94B161550C}" name="J5 TOTAL" dataDxfId="768">
      <calculatedColumnFormula>Majorette_Group_ModernMajoretteTeam_Children[[#This Row],[Judge 5
Barbara Novina]]-Z2</calculatedColumnFormula>
    </tableColumn>
    <tableColumn id="2" xr3:uid="{9ED27175-3156-485B-8D7A-389C4B213B27}" name="J5 (Rank)" dataDxfId="767">
      <calculatedColumnFormula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Row],[Category]],Majorette_Group_ModernMajoretteTeam_Children[J5 TOTAL],"&gt;"&amp;Majorette_Group_ModernMajoretteTeam_Children[[#This Row],[J5 TOTAL]])+1</calculatedColumnFormula>
    </tableColumn>
    <tableColumn id="20" xr3:uid="{0E8942E2-2F6B-4A4F-95DF-937E650427F7}" name="Total" dataDxfId="766">
      <calculatedColumnFormula>SUM(Majorette_Group_ModernMajoretteTeam_Children[[#This Row],[J1 TOTAL]]+Majorette_Group_ModernMajoretteTeam_Children[[#This Row],[J2 TOTAL]]+Majorette_Group_ModernMajoretteTeam_Children[[#This Row],[J3 TOTAL]]+Majorette_Group_ModernMajoretteTeam_Children[[#This Row],[J4 TOTAL]])+Majorette_Group_ModernMajoretteTeam_Children[[#This Row],[J5 TOTAL]]</calculatedColumnFormula>
    </tableColumn>
    <tableColumn id="23" xr3:uid="{ACF68C85-8249-418C-80D0-B71E426E7418}" name="Low" dataDxfId="765">
      <calculatedColumnFormula>MIN(Majorette_Group_ModernMajoretteTeam_Children[[#This Row],[J1 TOTAL]],Majorette_Group_ModernMajoretteTeam_Children[[#This Row],[J2 TOTAL]],Majorette_Group_ModernMajoretteTeam_Children[[#This Row],[J3 TOTAL]],Majorette_Group_ModernMajoretteTeam_Children[[#This Row],[J4 TOTAL]],Majorette_Group_ModernMajoretteTeam_Children[[#This Row],[J5 TOTAL]])</calculatedColumnFormula>
    </tableColumn>
    <tableColumn id="19" xr3:uid="{10F1A821-9BCC-4B5C-865F-81966945718B}" name="High" dataDxfId="764">
      <calculatedColumnFormula>MAX(Majorette_Group_ModernMajoretteTeam_Children[[#This Row],[J1 TOTAL]],Majorette_Group_ModernMajoretteTeam_Children[[#This Row],[J2 TOTAL]],Majorette_Group_ModernMajoretteTeam_Children[[#This Row],[J3 TOTAL]],Majorette_Group_ModernMajoretteTeam_Children[[#This Row],[J4 TOTAL]],Majorette_Group_ModernMajoretteTeam_Children[[#This Row],[J5 TOTAL]],)</calculatedColumnFormula>
    </tableColumn>
    <tableColumn id="25" xr3:uid="{D381701C-0696-477D-B725-59CAA24CEF8C}" name="Final Total" dataDxfId="763">
      <calculatedColumnFormula>SUM(Majorette_Group_ModernMajoretteTeam_Children[[#This Row],[Total]]-Majorette_Group_ModernMajoretteTeam_Children[[#This Row],[Low]]-Majorette_Group_ModernMajoretteTeam_Children[[#This Row],[High]])</calculatedColumnFormula>
    </tableColumn>
    <tableColumn id="24" xr3:uid="{445C9FFA-DB92-44FC-A8A7-09EEC74E2B01}" name="Avg" dataDxfId="762">
      <calculatedColumnFormula>AVERAGE(I2,M2,Q2,U2,Y2)</calculatedColumnFormula>
    </tableColumn>
    <tableColumn id="22" xr3:uid="{EBDDC0CD-5D79-4BD1-88CC-DAC9AFCDE807}" name="FINAL SCORE" dataDxfId="761">
      <calculatedColumnFormula>Majorette_Group_ModernMajoretteTeam_Children[[#This Row],[Final Total]]</calculatedColumnFormula>
    </tableColumn>
    <tableColumn id="27" xr3:uid="{8E91362F-BA47-4A86-AD52-DC5BC72E0DA9}" name="Rank" dataDxfId="760">
      <calculatedColumnFormula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Row],[Category]],Majorette_Group_ModernMajoretteTeam_Children[FINAL SCORE],"&gt;"&amp;Majorette_Group_ModernMajoretteTeam_Children[[#This Row],[FINAL SCORE]])+1</calculatedColumnFormula>
    </tableColumn>
    <tableColumn id="39" xr3:uid="{505A20BC-6FB1-4FC2-8BE3-468113E1CE06}" name="Category Type" dataDxfId="759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E599559-6E0F-4A32-961E-6C87EEFBC3CC}" name="Majorette_Group_TraditionalMajoretteGroup_Children" displayName="Majorette_Group_TraditionalMajoretteGroup_Children" ref="A1:AJ5" totalsRowShown="0" headerRowDxfId="718" dataDxfId="717">
  <autoFilter ref="A1:AJ5" xr:uid="{042C9DAD-4CB0-4D2A-8C87-3D9863992DF4}"/>
  <sortState xmlns:xlrd2="http://schemas.microsoft.com/office/spreadsheetml/2017/richdata2" ref="A2:AJ5">
    <sortCondition ref="AI1:AI5"/>
  </sortState>
  <tableColumns count="36">
    <tableColumn id="1" xr3:uid="{85053C21-CCED-4B56-A2F4-30F36373AA32}" name="Start No." dataDxfId="716"/>
    <tableColumn id="8" xr3:uid="{4ECF950F-FE1B-48E6-BA05-BA17D8D763A6}" name="Lane" dataDxfId="715"/>
    <tableColumn id="9" xr3:uid="{E577BF25-16F7-4710-945B-C38AA27BD617}" name="Category" dataDxfId="714"/>
    <tableColumn id="32" xr3:uid="{176CA592-7AE1-489F-8F2C-2600848176F2}" name="Age_x000a_Division" dataDxfId="713"/>
    <tableColumn id="40" xr3:uid="{D3F5EEED-4A4D-4206-B254-95245DFBB67F}" name="Level" dataDxfId="712"/>
    <tableColumn id="4" xr3:uid="{C07EA83D-01A8-4486-A887-A825DB3978D1}" name="Athlete" dataDxfId="711"/>
    <tableColumn id="38" xr3:uid="{84280215-6C58-4618-BAA2-C3EDF1C304BA}" name="Club" dataDxfId="710"/>
    <tableColumn id="37" xr3:uid="{09370FCA-890F-48F5-903B-BF4C241614EB}" name="Country" dataDxfId="709"/>
    <tableColumn id="15" xr3:uid="{B94A545C-6156-49D3-9CA2-F47F875FB46B}" name="Judge 1_x000a_Tamara Beljak" dataDxfId="708"/>
    <tableColumn id="33" xr3:uid="{8E63873A-52B1-4F1D-A670-BC237E3544F5}" name="J1 (-)" dataDxfId="707"/>
    <tableColumn id="26" xr3:uid="{29ED8E8A-3A86-4878-B456-B17EE46C710F}" name="J1 TOTAL" dataDxfId="706">
      <calculatedColumnFormula>Majorette_Group_TraditionalMajoretteGroup_Children[[#This Row],[Judge 1
Tamara Beljak]]-J2</calculatedColumnFormula>
    </tableColumn>
    <tableColumn id="3" xr3:uid="{0E1F852D-77A8-469F-A1BD-295ADCD24F29}" name="J1 (Rank)" dataDxfId="705">
      <calculatedColumnFormula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Row],[Category]],Majorette_Group_TraditionalMajoretteGroup_Children[J1 TOTAL],"&gt;"&amp;Majorette_Group_TraditionalMajoretteGroup_Children[[#This Row],[J1 TOTAL]])+1</calculatedColumnFormula>
    </tableColumn>
    <tableColumn id="16" xr3:uid="{F5E49480-A7F7-4A3B-B2AF-5D1111FC61CC}" name="Judge 2_x000a_Tihomir Bendelja" dataDxfId="704"/>
    <tableColumn id="34" xr3:uid="{45A4263B-45DF-4DC9-B67D-95DAE6868CD5}" name="J2 (-)" dataDxfId="703"/>
    <tableColumn id="28" xr3:uid="{B2737C59-6580-4A14-9F1B-13A8BAEAC498}" name="J2 TOTAL" dataDxfId="702">
      <calculatedColumnFormula>Majorette_Group_TraditionalMajoretteGroup_Children[[#This Row],[Judge 2
Tihomir Bendelja]]-Majorette_Group_TraditionalMajoretteGroup_Children[[#This Row],[J2 (-)]]</calculatedColumnFormula>
    </tableColumn>
    <tableColumn id="5" xr3:uid="{F4770F7E-DBA3-4AA0-BD78-4D2546F68DA2}" name="J2 (Rank)" dataDxfId="701">
      <calculatedColumnFormula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Row],[Category]],Majorette_Group_TraditionalMajoretteGroup_Children[J2 TOTAL],"&gt;"&amp;Majorette_Group_TraditionalMajoretteGroup_Children[[#This Row],[J2 TOTAL]])+1</calculatedColumnFormula>
    </tableColumn>
    <tableColumn id="17" xr3:uid="{B8272262-1775-4184-AD44-17D799558636}" name="Judge 3_x000a_Tea Softić" dataDxfId="700"/>
    <tableColumn id="35" xr3:uid="{D4E6C771-0161-4D48-A41B-720D467CA097}" name="J3 (-)" dataDxfId="699"/>
    <tableColumn id="30" xr3:uid="{9EF53B36-51BE-4E4D-B48A-40DD0E5599B0}" name="J3 TOTAL" dataDxfId="698">
      <calculatedColumnFormula>Majorette_Group_TraditionalMajoretteGroup_Children[[#This Row],[Judge 3
Tea Softić]]-R2</calculatedColumnFormula>
    </tableColumn>
    <tableColumn id="6" xr3:uid="{45DA7629-AAAB-4C09-927D-D1CEF2076373}" name="J3 (Rank)" dataDxfId="697">
      <calculatedColumnFormula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Row],[Category]],Majorette_Group_TraditionalMajoretteGroup_Children[J3 TOTAL],"&gt;"&amp;Majorette_Group_TraditionalMajoretteGroup_Children[[#This Row],[J3 TOTAL]])+1</calculatedColumnFormula>
    </tableColumn>
    <tableColumn id="18" xr3:uid="{A157E385-11BE-4458-8D4E-39AFE63EA62D}" name="Judge 4_x000a_Bernard Barač" dataDxfId="696"/>
    <tableColumn id="36" xr3:uid="{6580D2B9-4CA6-46C4-8A71-BD1EF6045160}" name="J4 (-)" dataDxfId="695"/>
    <tableColumn id="31" xr3:uid="{707FDC3C-4890-41F2-93FF-07054C1A2AEF}" name="J4 TOTAL" dataDxfId="694">
      <calculatedColumnFormula>Majorette_Group_TraditionalMajoretteGroup_Children[[#This Row],[Judge 4
Bernard Barač]]-V2</calculatedColumnFormula>
    </tableColumn>
    <tableColumn id="7" xr3:uid="{8B35AAE6-40DD-4356-9768-7AD53D426445}" name="J4 (Rank)" dataDxfId="693">
      <calculatedColumnFormula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Row],[Category]],Majorette_Group_TraditionalMajoretteGroup_Children[J4 TOTAL],"&gt;"&amp;Majorette_Group_TraditionalMajoretteGroup_Children[[#This Row],[J4 TOTAL]])+1</calculatedColumnFormula>
    </tableColumn>
    <tableColumn id="12" xr3:uid="{3EF08572-9160-4F3E-AFDC-3A7138B7B4D4}" name="Judge 5_x000a_Barbara Novina" dataDxfId="692"/>
    <tableColumn id="11" xr3:uid="{5190A0E3-9A94-4185-BFC1-F7F94B5D4B21}" name="J5 (-)" dataDxfId="691"/>
    <tableColumn id="10" xr3:uid="{19BF07BE-55A7-4427-89BB-75FFD7EE4562}" name="J5 TOTAL" dataDxfId="690">
      <calculatedColumnFormula>Majorette_Group_TraditionalMajoretteGroup_Children[[#This Row],[Judge 5
Barbara Novina]]-Z2</calculatedColumnFormula>
    </tableColumn>
    <tableColumn id="2" xr3:uid="{A0091D15-7E50-4562-9F01-FC779A0A1744}" name="J5 (Rank)" dataDxfId="689">
      <calculatedColumnFormula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Row],[Category]],Majorette_Group_TraditionalMajoretteGroup_Children[J5 TOTAL],"&gt;"&amp;Majorette_Group_TraditionalMajoretteGroup_Children[[#This Row],[J5 TOTAL]])+1</calculatedColumnFormula>
    </tableColumn>
    <tableColumn id="20" xr3:uid="{BFF6D840-FE52-4EDC-8AC5-644518D60D1E}" name="Total" dataDxfId="688">
      <calculatedColumnFormula>SUM(Majorette_Group_TraditionalMajoretteGroup_Children[[#This Row],[J1 TOTAL]]+Majorette_Group_TraditionalMajoretteGroup_Children[[#This Row],[J2 TOTAL]]+Majorette_Group_TraditionalMajoretteGroup_Children[[#This Row],[J3 TOTAL]]+Majorette_Group_TraditionalMajoretteGroup_Children[[#This Row],[J4 TOTAL]])+Majorette_Group_TraditionalMajoretteGroup_Children[[#This Row],[J5 TOTAL]]</calculatedColumnFormula>
    </tableColumn>
    <tableColumn id="23" xr3:uid="{3543AF26-2D05-4416-89D9-F95FCEB5E3DF}" name="Low" dataDxfId="687">
      <calculatedColumnFormula>MIN(Majorette_Group_TraditionalMajoretteGroup_Children[[#This Row],[J1 TOTAL]],Majorette_Group_TraditionalMajoretteGroup_Children[[#This Row],[J2 TOTAL]],Majorette_Group_TraditionalMajoretteGroup_Children[[#This Row],[J3 TOTAL]],Majorette_Group_TraditionalMajoretteGroup_Children[[#This Row],[J4 TOTAL]],Majorette_Group_TraditionalMajoretteGroup_Children[[#This Row],[J5 TOTAL]])</calculatedColumnFormula>
    </tableColumn>
    <tableColumn id="19" xr3:uid="{9866EC03-E650-4A87-BF75-BCCC5D72F0AA}" name="High" dataDxfId="686">
      <calculatedColumnFormula>MAX(Majorette_Group_TraditionalMajoretteGroup_Children[[#This Row],[J1 TOTAL]],Majorette_Group_TraditionalMajoretteGroup_Children[[#This Row],[J2 TOTAL]],Majorette_Group_TraditionalMajoretteGroup_Children[[#This Row],[J3 TOTAL]],Majorette_Group_TraditionalMajoretteGroup_Children[[#This Row],[J4 TOTAL]],Majorette_Group_TraditionalMajoretteGroup_Children[[#This Row],[J5 TOTAL]],)</calculatedColumnFormula>
    </tableColumn>
    <tableColumn id="25" xr3:uid="{50D93554-B2E2-47DC-B289-9F6B04EC33ED}" name="Final Total" dataDxfId="685">
      <calculatedColumnFormula>SUM(Majorette_Group_TraditionalMajoretteGroup_Children[[#This Row],[Total]]-Majorette_Group_TraditionalMajoretteGroup_Children[[#This Row],[Low]]-Majorette_Group_TraditionalMajoretteGroup_Children[[#This Row],[High]])</calculatedColumnFormula>
    </tableColumn>
    <tableColumn id="24" xr3:uid="{E556F3E8-188B-4BE0-9C2E-FA7FEB3C805A}" name="Avg" dataDxfId="684">
      <calculatedColumnFormula>AVERAGE(I2,M2,Q2,U2,Y2)</calculatedColumnFormula>
    </tableColumn>
    <tableColumn id="22" xr3:uid="{69A0BD40-55E1-435F-8748-6230C678AB21}" name="FINAL SCORE" dataDxfId="683">
      <calculatedColumnFormula>Majorette_Group_TraditionalMajoretteGroup_Children[[#This Row],[Final Total]]</calculatedColumnFormula>
    </tableColumn>
    <tableColumn id="27" xr3:uid="{C7215765-24EA-44D5-8409-67A499DAB20F}" name="Rank" dataDxfId="682">
      <calculatedColumnFormula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Row],[Category]],Majorette_Group_TraditionalMajoretteGroup_Children[FINAL SCORE],"&gt;"&amp;Majorette_Group_TraditionalMajoretteGroup_Children[[#This Row],[FINAL SCORE]])+1</calculatedColumnFormula>
    </tableColumn>
    <tableColumn id="39" xr3:uid="{ACDCAF84-31EC-41AD-9081-E4A509F2C922}" name="Category Type" dataDxfId="681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A27DFEC-8AB1-447E-A1B1-DACC64BED642}" name="Majorette_Group_TraditionalMajoretteGroup_Cadet" displayName="Majorette_Group_TraditionalMajoretteGroup_Cadet" ref="A1:AJ4" totalsRowShown="0" headerRowDxfId="644" dataDxfId="643">
  <autoFilter ref="A1:AJ4" xr:uid="{042C9DAD-4CB0-4D2A-8C87-3D9863992DF4}"/>
  <sortState xmlns:xlrd2="http://schemas.microsoft.com/office/spreadsheetml/2017/richdata2" ref="A2:AJ4">
    <sortCondition ref="AI1:AI4"/>
  </sortState>
  <tableColumns count="36">
    <tableColumn id="1" xr3:uid="{2CAA5729-F094-4AEF-827D-DA5926903058}" name="Start No." dataDxfId="680"/>
    <tableColumn id="8" xr3:uid="{2DAD1EE4-FB68-43E3-804D-645D15B89E57}" name="Lane" dataDxfId="679"/>
    <tableColumn id="9" xr3:uid="{FED0556D-389D-4356-9B76-E2777FF1CB61}" name="Category" dataDxfId="678"/>
    <tableColumn id="32" xr3:uid="{6D6D194C-6AE3-4CFE-AA24-D26166B15242}" name="Age_x000a_Division" dataDxfId="677"/>
    <tableColumn id="40" xr3:uid="{1ADB9B7B-B1C9-47E9-9BC0-71AF1E829C0C}" name="Level" dataDxfId="676"/>
    <tableColumn id="4" xr3:uid="{F37DC803-3FBD-4362-88D4-77C2D2B32971}" name="Athlete" dataDxfId="675"/>
    <tableColumn id="38" xr3:uid="{CB451EBD-77AA-44BF-9D55-C04413D83D42}" name="Club" dataDxfId="674"/>
    <tableColumn id="37" xr3:uid="{EA9B25E6-0814-4827-8A00-067C50E08E64}" name="Country" dataDxfId="673"/>
    <tableColumn id="15" xr3:uid="{999774E7-F32A-4D46-B77C-EFE61E4BAE73}" name="Judge 1_x000a_Tamara Beljak" dataDxfId="672"/>
    <tableColumn id="33" xr3:uid="{A07ECBC4-9F34-478E-931D-0EDA9B02EE94}" name="J1 (-)" dataDxfId="671"/>
    <tableColumn id="26" xr3:uid="{DF55922A-3CFB-4252-8A09-FE97113FB142}" name="J1 TOTAL" dataDxfId="670">
      <calculatedColumnFormula>Majorette_Group_TraditionalMajoretteGroup_Cadet[[#This Row],[Judge 1
Tamara Beljak]]-J2</calculatedColumnFormula>
    </tableColumn>
    <tableColumn id="3" xr3:uid="{D1FA3FF3-2FB1-4098-AA28-EF3B55AF7FDC}" name="J1 (Rank)" dataDxfId="669">
      <calculatedColumnFormula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Row],[Category]],Majorette_Group_TraditionalMajoretteGroup_Cadet[J1 TOTAL],"&gt;"&amp;Majorette_Group_TraditionalMajoretteGroup_Cadet[[#This Row],[J1 TOTAL]])+1</calculatedColumnFormula>
    </tableColumn>
    <tableColumn id="16" xr3:uid="{5749E1C0-FEEE-4991-9110-91D503D2421E}" name="Judge 2_x000a_Tihomir Bendelja" dataDxfId="668"/>
    <tableColumn id="34" xr3:uid="{72622948-B925-4FB8-8528-48BC25826B54}" name="J2 (-)" dataDxfId="667"/>
    <tableColumn id="28" xr3:uid="{721B6F76-04E0-4E67-ACBA-378148D364E2}" name="J2 TOTAL" dataDxfId="666">
      <calculatedColumnFormula>Majorette_Group_TraditionalMajoretteGroup_Cadet[[#This Row],[Judge 2
Tihomir Bendelja]]-Majorette_Group_TraditionalMajoretteGroup_Cadet[[#This Row],[J2 (-)]]</calculatedColumnFormula>
    </tableColumn>
    <tableColumn id="5" xr3:uid="{4C6042BF-BDE1-4BC4-8D2F-0CCABE17AA71}" name="J2 (Rank)" dataDxfId="665">
      <calculatedColumnFormula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Row],[Category]],Majorette_Group_TraditionalMajoretteGroup_Cadet[J2 TOTAL],"&gt;"&amp;Majorette_Group_TraditionalMajoretteGroup_Cadet[[#This Row],[J2 TOTAL]])+1</calculatedColumnFormula>
    </tableColumn>
    <tableColumn id="17" xr3:uid="{00EDAE44-C405-40E5-B68D-F96EEBBA7490}" name="Judge 3_x000a_Tea Softić" dataDxfId="664"/>
    <tableColumn id="35" xr3:uid="{6666B9D7-6DC1-46AA-8A8E-C5BE7CECE899}" name="J3 (-)" dataDxfId="663"/>
    <tableColumn id="30" xr3:uid="{E36F048E-E7A4-49FB-B1B2-6404EF8FCD84}" name="J3 TOTAL" dataDxfId="662">
      <calculatedColumnFormula>Majorette_Group_TraditionalMajoretteGroup_Cadet[[#This Row],[Judge 3
Tea Softić]]-R2</calculatedColumnFormula>
    </tableColumn>
    <tableColumn id="6" xr3:uid="{FC831AC0-D04F-4123-8F4C-D54CB0EA7E9C}" name="J3 (Rank)" dataDxfId="661">
      <calculatedColumnFormula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Row],[Category]],Majorette_Group_TraditionalMajoretteGroup_Cadet[J3 TOTAL],"&gt;"&amp;Majorette_Group_TraditionalMajoretteGroup_Cadet[[#This Row],[J3 TOTAL]])+1</calculatedColumnFormula>
    </tableColumn>
    <tableColumn id="18" xr3:uid="{B06FCA85-3D9A-404A-AE3B-9FA1E25FD190}" name="Judge 4_x000a_Bernard Barač" dataDxfId="660"/>
    <tableColumn id="36" xr3:uid="{8B666376-0D86-4D9C-8400-1B43AA9D7AAE}" name="J4 (-)" dataDxfId="659"/>
    <tableColumn id="31" xr3:uid="{70419927-C16F-4D37-A8DD-5C1ECC878A7A}" name="J4 TOTAL" dataDxfId="658">
      <calculatedColumnFormula>Majorette_Group_TraditionalMajoretteGroup_Cadet[[#This Row],[Judge 4
Bernard Barač]]-V2</calculatedColumnFormula>
    </tableColumn>
    <tableColumn id="7" xr3:uid="{39B7279C-D28C-423D-A032-C004862816EA}" name="J4 (Rank)" dataDxfId="657">
      <calculatedColumnFormula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Row],[Category]],Majorette_Group_TraditionalMajoretteGroup_Cadet[J4 TOTAL],"&gt;"&amp;Majorette_Group_TraditionalMajoretteGroup_Cadet[[#This Row],[J4 TOTAL]])+1</calculatedColumnFormula>
    </tableColumn>
    <tableColumn id="12" xr3:uid="{2D37F31B-E857-4EB2-B154-BEA874F6E82A}" name="Judge 5_x000a_Barbara Novina" dataDxfId="656"/>
    <tableColumn id="11" xr3:uid="{F8FA11E0-20B0-4722-9C42-57B9C7A56921}" name="J5 (-)" dataDxfId="655"/>
    <tableColumn id="10" xr3:uid="{09958709-5602-4FCD-944A-95C1660A4F16}" name="J5 TOTAL" dataDxfId="654">
      <calculatedColumnFormula>Majorette_Group_TraditionalMajoretteGroup_Cadet[[#This Row],[Judge 5
Barbara Novina]]-Z2</calculatedColumnFormula>
    </tableColumn>
    <tableColumn id="2" xr3:uid="{366F321F-7358-4731-8A25-5CD393274A0C}" name="J5 (Rank)" dataDxfId="653">
      <calculatedColumnFormula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Row],[Category]],Majorette_Group_TraditionalMajoretteGroup_Cadet[J5 TOTAL],"&gt;"&amp;Majorette_Group_TraditionalMajoretteGroup_Cadet[[#This Row],[J5 TOTAL]])+1</calculatedColumnFormula>
    </tableColumn>
    <tableColumn id="20" xr3:uid="{539FF1E3-961E-412E-A514-52910710854C}" name="Total" dataDxfId="652">
      <calculatedColumnFormula>SUM(Majorette_Group_TraditionalMajoretteGroup_Cadet[[#This Row],[J1 TOTAL]]+Majorette_Group_TraditionalMajoretteGroup_Cadet[[#This Row],[J2 TOTAL]]+Majorette_Group_TraditionalMajoretteGroup_Cadet[[#This Row],[J3 TOTAL]]+Majorette_Group_TraditionalMajoretteGroup_Cadet[[#This Row],[J4 TOTAL]])+Majorette_Group_TraditionalMajoretteGroup_Cadet[[#This Row],[J5 TOTAL]]</calculatedColumnFormula>
    </tableColumn>
    <tableColumn id="23" xr3:uid="{8158EFFA-45D0-4AB6-8CBA-8AF9205C65FC}" name="Low" dataDxfId="651">
      <calculatedColumnFormula>MIN(Majorette_Group_TraditionalMajoretteGroup_Cadet[[#This Row],[J1 TOTAL]],Majorette_Group_TraditionalMajoretteGroup_Cadet[[#This Row],[J2 TOTAL]],Majorette_Group_TraditionalMajoretteGroup_Cadet[[#This Row],[J3 TOTAL]],Majorette_Group_TraditionalMajoretteGroup_Cadet[[#This Row],[J4 TOTAL]],Majorette_Group_TraditionalMajoretteGroup_Cadet[[#This Row],[J5 TOTAL]])</calculatedColumnFormula>
    </tableColumn>
    <tableColumn id="19" xr3:uid="{9C197CD7-1F6E-4BD8-8280-2BC6262B25B6}" name="High" dataDxfId="650">
      <calculatedColumnFormula>MAX(Majorette_Group_TraditionalMajoretteGroup_Cadet[[#This Row],[J1 TOTAL]],Majorette_Group_TraditionalMajoretteGroup_Cadet[[#This Row],[J2 TOTAL]],Majorette_Group_TraditionalMajoretteGroup_Cadet[[#This Row],[J3 TOTAL]],Majorette_Group_TraditionalMajoretteGroup_Cadet[[#This Row],[J4 TOTAL]],Majorette_Group_TraditionalMajoretteGroup_Cadet[[#This Row],[J5 TOTAL]],)</calculatedColumnFormula>
    </tableColumn>
    <tableColumn id="25" xr3:uid="{5BE6A73F-5DB0-4483-B973-4C92265920A6}" name="Final Total" dataDxfId="649">
      <calculatedColumnFormula>SUM(Majorette_Group_TraditionalMajoretteGroup_Cadet[[#This Row],[Total]]-Majorette_Group_TraditionalMajoretteGroup_Cadet[[#This Row],[Low]]-Majorette_Group_TraditionalMajoretteGroup_Cadet[[#This Row],[High]])</calculatedColumnFormula>
    </tableColumn>
    <tableColumn id="24" xr3:uid="{232AE336-2241-4A77-A796-066BC6DCFB92}" name="Avg" dataDxfId="648">
      <calculatedColumnFormula>AVERAGE(I2,M2,Q2,U2,Y2)</calculatedColumnFormula>
    </tableColumn>
    <tableColumn id="22" xr3:uid="{3C7A575C-031D-465F-B046-180608D1E556}" name="FINAL SCORE" dataDxfId="647">
      <calculatedColumnFormula>Majorette_Group_TraditionalMajoretteGroup_Cadet[[#This Row],[Final Total]]</calculatedColumnFormula>
    </tableColumn>
    <tableColumn id="27" xr3:uid="{DD109CF4-BF4E-43D2-9B53-8F0761A4CF23}" name="Rank" dataDxfId="646">
      <calculatedColumnFormula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Row],[Category]],Majorette_Group_TraditionalMajoretteGroup_Cadet[FINAL SCORE],"&gt;"&amp;Majorette_Group_TraditionalMajoretteGroup_Cadet[[#This Row],[FINAL SCORE]])+1</calculatedColumnFormula>
    </tableColumn>
    <tableColumn id="39" xr3:uid="{D0111B95-3029-4F3F-A8B9-84F53F15BFBE}" name="Category Type" dataDxfId="645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DC653A3-53B6-4536-80A3-CECC0A5AB9DC}" name="Majorette_Group_ModernMajoretteTeam_Cadet" displayName="Majorette_Group_ModernMajoretteTeam_Cadet" ref="A1:AJ3" totalsRowShown="0" headerRowDxfId="606" dataDxfId="605">
  <autoFilter ref="A1:AJ3" xr:uid="{042C9DAD-4CB0-4D2A-8C87-3D9863992DF4}"/>
  <sortState xmlns:xlrd2="http://schemas.microsoft.com/office/spreadsheetml/2017/richdata2" ref="A2:AJ3">
    <sortCondition ref="AI1:AI3"/>
  </sortState>
  <tableColumns count="36">
    <tableColumn id="1" xr3:uid="{AFF597FE-5B45-450F-AEDF-DD601DC600D5}" name="Start No." dataDxfId="642"/>
    <tableColumn id="8" xr3:uid="{8EF5C649-F37B-448E-8323-600E3171083F}" name="Lane" dataDxfId="641"/>
    <tableColumn id="9" xr3:uid="{3E62E72A-56B6-40E9-BF24-D6EE82D17521}" name="Category" dataDxfId="640"/>
    <tableColumn id="32" xr3:uid="{B9824F8C-A263-40B4-8AE5-FBB86A7D9B8D}" name="Age_x000a_Division" dataDxfId="639"/>
    <tableColumn id="40" xr3:uid="{10B0D1D9-9BD5-418B-89C6-B656D35423F4}" name="Level" dataDxfId="638"/>
    <tableColumn id="4" xr3:uid="{7E1FC8B4-8FAA-433E-81AB-C8A26C51483B}" name="Athlete" dataDxfId="637"/>
    <tableColumn id="38" xr3:uid="{F0662851-CC5E-4515-BC19-8DBEBFD0DA9B}" name="Club" dataDxfId="636"/>
    <tableColumn id="37" xr3:uid="{4B1CC761-E24D-40EF-838A-32B6E767F384}" name="Country" dataDxfId="635"/>
    <tableColumn id="15" xr3:uid="{B148523E-F4BC-4EC6-9177-6825B4472B2F}" name="Judge 1_x000a_Tamara Beljak" dataDxfId="634"/>
    <tableColumn id="33" xr3:uid="{5C9B68DA-E025-4F39-9582-53C37222D548}" name="J1 (-)" dataDxfId="633"/>
    <tableColumn id="26" xr3:uid="{68ED570F-F173-48DA-99E4-F0CDAD7D2AB1}" name="J1 TOTAL" dataDxfId="632">
      <calculatedColumnFormula>Majorette_Group_ModernMajoretteTeam_Cadet[[#This Row],[Judge 1
Tamara Beljak]]-J2</calculatedColumnFormula>
    </tableColumn>
    <tableColumn id="3" xr3:uid="{1F094EE1-B2F9-4170-8157-AA11BFC81082}" name="J1 (Rank)" dataDxfId="631">
      <calculatedColumnFormula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Row],[Category]],Majorette_Group_ModernMajoretteTeam_Cadet[J1 TOTAL],"&gt;"&amp;Majorette_Group_ModernMajoretteTeam_Cadet[[#This Row],[J1 TOTAL]])+1</calculatedColumnFormula>
    </tableColumn>
    <tableColumn id="16" xr3:uid="{21E22B6E-9B24-4B50-9FEC-4C3ED234C6E3}" name="Judge 2_x000a_Tihomir Bendelja" dataDxfId="630"/>
    <tableColumn id="34" xr3:uid="{37A34AFF-6143-4F47-9353-BDA334FDD2DB}" name="J2 (-)" dataDxfId="629"/>
    <tableColumn id="28" xr3:uid="{6E127E9D-9E66-4730-8F9D-F3BCF37B2D30}" name="J2 TOTAL" dataDxfId="628">
      <calculatedColumnFormula>Majorette_Group_ModernMajoretteTeam_Cadet[[#This Row],[Judge 2
Tihomir Bendelja]]-Majorette_Group_ModernMajoretteTeam_Cadet[[#This Row],[J2 (-)]]</calculatedColumnFormula>
    </tableColumn>
    <tableColumn id="5" xr3:uid="{069167F7-6455-49FD-9DBA-5BDE0111953C}" name="J2 (Rank)" dataDxfId="627">
      <calculatedColumnFormula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Row],[Category]],Majorette_Group_ModernMajoretteTeam_Cadet[J2 TOTAL],"&gt;"&amp;Majorette_Group_ModernMajoretteTeam_Cadet[[#This Row],[J2 TOTAL]])+1</calculatedColumnFormula>
    </tableColumn>
    <tableColumn id="17" xr3:uid="{3A3991C7-DBA3-4F3C-A317-C64E59D82244}" name="Judge 3_x000a_Tea Softić" dataDxfId="626"/>
    <tableColumn id="35" xr3:uid="{77649A12-6CA5-4302-9290-0053B74231B0}" name="J3 (-)" dataDxfId="625"/>
    <tableColumn id="30" xr3:uid="{CD1B803C-B132-410F-96DD-2D2D4E2DF677}" name="J3 TOTAL" dataDxfId="624">
      <calculatedColumnFormula>Majorette_Group_ModernMajoretteTeam_Cadet[[#This Row],[Judge 3
Tea Softić]]-R2</calculatedColumnFormula>
    </tableColumn>
    <tableColumn id="6" xr3:uid="{F6A55B50-6C00-462F-9154-892CCB563DA0}" name="J3 (Rank)" dataDxfId="623">
      <calculatedColumnFormula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Row],[Category]],Majorette_Group_ModernMajoretteTeam_Cadet[J3 TOTAL],"&gt;"&amp;Majorette_Group_ModernMajoretteTeam_Cadet[[#This Row],[J3 TOTAL]])+1</calculatedColumnFormula>
    </tableColumn>
    <tableColumn id="18" xr3:uid="{C271FE20-8C15-4896-B2DE-CFFF2429A7D9}" name="Judge 4_x000a_Bernard Barač" dataDxfId="622"/>
    <tableColumn id="36" xr3:uid="{679738CB-E1D7-4510-8429-05EEFC3B0FA9}" name="J4 (-)" dataDxfId="621"/>
    <tableColumn id="31" xr3:uid="{479E757D-7379-4B1B-A83D-42ECFA797555}" name="J4 TOTAL" dataDxfId="620">
      <calculatedColumnFormula>Majorette_Group_ModernMajoretteTeam_Cadet[[#This Row],[Judge 4
Bernard Barač]]-V2</calculatedColumnFormula>
    </tableColumn>
    <tableColumn id="7" xr3:uid="{1B9B57F8-9C57-4A7F-AC9C-990867E53304}" name="J4 (Rank)" dataDxfId="619">
      <calculatedColumnFormula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Row],[Category]],Majorette_Group_ModernMajoretteTeam_Cadet[J4 TOTAL],"&gt;"&amp;Majorette_Group_ModernMajoretteTeam_Cadet[[#This Row],[J4 TOTAL]])+1</calculatedColumnFormula>
    </tableColumn>
    <tableColumn id="12" xr3:uid="{22D2C5E5-26EF-418A-AEC9-7225C9892BDD}" name="Judge 5_x000a_Barbara Novina" dataDxfId="618"/>
    <tableColumn id="11" xr3:uid="{B6A239BD-EFF2-40D8-83FE-3C1695E57BC5}" name="J5 (-)" dataDxfId="617"/>
    <tableColumn id="10" xr3:uid="{C6D1EEDB-86FE-447C-A89B-60FABA723F33}" name="J5 TOTAL" dataDxfId="616">
      <calculatedColumnFormula>Majorette_Group_ModernMajoretteTeam_Cadet[[#This Row],[Judge 5
Barbara Novina]]-Z2</calculatedColumnFormula>
    </tableColumn>
    <tableColumn id="2" xr3:uid="{152BFDE8-0439-44B8-9612-FFFD1EA56E85}" name="J5 (Rank)" dataDxfId="615">
      <calculatedColumnFormula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Row],[Category]],Majorette_Group_ModernMajoretteTeam_Cadet[J5 TOTAL],"&gt;"&amp;Majorette_Group_ModernMajoretteTeam_Cadet[[#This Row],[J5 TOTAL]])+1</calculatedColumnFormula>
    </tableColumn>
    <tableColumn id="20" xr3:uid="{67B5026F-C77C-45B9-B2D4-203808492CD1}" name="Total" dataDxfId="614">
      <calculatedColumnFormula>SUM(Majorette_Group_ModernMajoretteTeam_Cadet[[#This Row],[J1 TOTAL]]+Majorette_Group_ModernMajoretteTeam_Cadet[[#This Row],[J2 TOTAL]]+Majorette_Group_ModernMajoretteTeam_Cadet[[#This Row],[J3 TOTAL]]+Majorette_Group_ModernMajoretteTeam_Cadet[[#This Row],[J4 TOTAL]])+Majorette_Group_ModernMajoretteTeam_Cadet[[#This Row],[J5 TOTAL]]</calculatedColumnFormula>
    </tableColumn>
    <tableColumn id="23" xr3:uid="{07218C25-C3E7-4EF5-9C3B-E5D43D8390B9}" name="Low" dataDxfId="613">
      <calculatedColumnFormula>MIN(Majorette_Group_ModernMajoretteTeam_Cadet[[#This Row],[J1 TOTAL]],Majorette_Group_ModernMajoretteTeam_Cadet[[#This Row],[J2 TOTAL]],Majorette_Group_ModernMajoretteTeam_Cadet[[#This Row],[J3 TOTAL]],Majorette_Group_ModernMajoretteTeam_Cadet[[#This Row],[J4 TOTAL]],Majorette_Group_ModernMajoretteTeam_Cadet[[#This Row],[J5 TOTAL]])</calculatedColumnFormula>
    </tableColumn>
    <tableColumn id="19" xr3:uid="{335E4965-D9D1-4227-A47D-B4C248EE1964}" name="High" dataDxfId="612">
      <calculatedColumnFormula>MAX(Majorette_Group_ModernMajoretteTeam_Cadet[[#This Row],[J1 TOTAL]],Majorette_Group_ModernMajoretteTeam_Cadet[[#This Row],[J2 TOTAL]],Majorette_Group_ModernMajoretteTeam_Cadet[[#This Row],[J3 TOTAL]],Majorette_Group_ModernMajoretteTeam_Cadet[[#This Row],[J4 TOTAL]],Majorette_Group_ModernMajoretteTeam_Cadet[[#This Row],[J5 TOTAL]],)</calculatedColumnFormula>
    </tableColumn>
    <tableColumn id="25" xr3:uid="{A2A229CE-41A4-4DEA-9028-E183ACCD4AFF}" name="Final Total" dataDxfId="611">
      <calculatedColumnFormula>SUM(Majorette_Group_ModernMajoretteTeam_Cadet[[#This Row],[Total]]-Majorette_Group_ModernMajoretteTeam_Cadet[[#This Row],[Low]]-Majorette_Group_ModernMajoretteTeam_Cadet[[#This Row],[High]])</calculatedColumnFormula>
    </tableColumn>
    <tableColumn id="24" xr3:uid="{430FBD4E-F389-4B58-B1B7-304A84485028}" name="Avg" dataDxfId="610">
      <calculatedColumnFormula>AVERAGE(I2,M2,Q2,U2,Y2)</calculatedColumnFormula>
    </tableColumn>
    <tableColumn id="22" xr3:uid="{F4E81879-7748-4C24-A9B2-FB133D8ACC9D}" name="FINAL SCORE" dataDxfId="609">
      <calculatedColumnFormula>Majorette_Group_ModernMajoretteTeam_Cadet[[#This Row],[Final Total]]</calculatedColumnFormula>
    </tableColumn>
    <tableColumn id="27" xr3:uid="{DFB9B25C-E968-4B68-927A-D6706B380BF6}" name="Rank" dataDxfId="608">
      <calculatedColumnFormula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Row],[Category]],Majorette_Group_ModernMajoretteTeam_Cadet[FINAL SCORE],"&gt;"&amp;Majorette_Group_ModernMajoretteTeam_Cadet[[#This Row],[FINAL SCORE]])+1</calculatedColumnFormula>
    </tableColumn>
    <tableColumn id="39" xr3:uid="{7CA0FB2C-D32B-47AF-A743-9351B90337D3}" name="Category Type" dataDxfId="607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FBC9D9CC-F94B-45E3-8045-16FEA1F440D2}" name="Majorette_Group_ModernMajoretteTeam_Junior" displayName="Majorette_Group_ModernMajoretteTeam_Junior" ref="A1:AJ3" totalsRowShown="0" headerRowDxfId="568" dataDxfId="567">
  <autoFilter ref="A1:AJ3" xr:uid="{042C9DAD-4CB0-4D2A-8C87-3D9863992DF4}"/>
  <sortState xmlns:xlrd2="http://schemas.microsoft.com/office/spreadsheetml/2017/richdata2" ref="A2:AJ3">
    <sortCondition ref="AI1:AI3"/>
  </sortState>
  <tableColumns count="36">
    <tableColumn id="1" xr3:uid="{A46D30AC-7F3E-428F-8396-90FB6C338E32}" name="Start No." dataDxfId="604"/>
    <tableColumn id="8" xr3:uid="{DCE0444A-B541-4F4D-B75F-E85A1B6F4BE0}" name="Lane" dataDxfId="603"/>
    <tableColumn id="9" xr3:uid="{103D9503-108B-4687-A28E-96B4DAE2FC1E}" name="Category" dataDxfId="602"/>
    <tableColumn id="32" xr3:uid="{E9652D84-E597-4288-B24A-9A1B7FB6F4A2}" name="Age_x000a_Division" dataDxfId="601"/>
    <tableColumn id="40" xr3:uid="{C9D10DA5-4813-476B-838D-3917531CEC22}" name="Level" dataDxfId="600"/>
    <tableColumn id="4" xr3:uid="{23E0867B-AE4D-4069-ADC5-1C44B90BA6E2}" name="Athlete" dataDxfId="599"/>
    <tableColumn id="38" xr3:uid="{A231413D-2CB7-4F0E-869F-A1F04F86BB3B}" name="Club" dataDxfId="598"/>
    <tableColumn id="37" xr3:uid="{5DEE4A2D-85BB-4C80-A71A-A397AE96D8C9}" name="Country" dataDxfId="597"/>
    <tableColumn id="15" xr3:uid="{C6D1EF91-F3FB-45B7-98C6-7F0AEBDE26F3}" name="Judge 1_x000a_Tamara Beljak" dataDxfId="596"/>
    <tableColumn id="33" xr3:uid="{7CDBC721-7001-476A-8F1B-315249633A6D}" name="J1 (-)" dataDxfId="595"/>
    <tableColumn id="26" xr3:uid="{B10211BA-4174-45C8-A6AC-7E8D828B2777}" name="J1 TOTAL" dataDxfId="594">
      <calculatedColumnFormula>Majorette_Group_ModernMajoretteTeam_Junior[[#This Row],[Judge 1
Tamara Beljak]]-J2</calculatedColumnFormula>
    </tableColumn>
    <tableColumn id="3" xr3:uid="{D312076A-8393-4C39-B6A3-7586C41CEEDE}" name="J1 (Rank)" dataDxfId="593">
      <calculatedColumnFormula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Row],[Category]],Majorette_Group_ModernMajoretteTeam_Junior[J1 TOTAL],"&gt;"&amp;Majorette_Group_ModernMajoretteTeam_Junior[[#This Row],[J1 TOTAL]])+1</calculatedColumnFormula>
    </tableColumn>
    <tableColumn id="16" xr3:uid="{BE03836C-CA03-4D56-B644-4602D628F8AD}" name="Judge 2_x000a_Tihomir Bendelja" dataDxfId="592"/>
    <tableColumn id="34" xr3:uid="{65C2666B-D1B4-4F6D-9630-0DB38545E4AA}" name="J2 (-)" dataDxfId="591"/>
    <tableColumn id="28" xr3:uid="{90CBCA6D-6C23-45C8-BB7D-01483DA05160}" name="J2 TOTAL" dataDxfId="590">
      <calculatedColumnFormula>Majorette_Group_ModernMajoretteTeam_Junior[[#This Row],[Judge 2
Tihomir Bendelja]]-Majorette_Group_ModernMajoretteTeam_Junior[[#This Row],[J2 (-)]]</calculatedColumnFormula>
    </tableColumn>
    <tableColumn id="5" xr3:uid="{CEB43669-B87F-447F-BBC0-64BEF40328DB}" name="J2 (Rank)" dataDxfId="589">
      <calculatedColumnFormula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Row],[Category]],Majorette_Group_ModernMajoretteTeam_Junior[J2 TOTAL],"&gt;"&amp;Majorette_Group_ModernMajoretteTeam_Junior[[#This Row],[J2 TOTAL]])+1</calculatedColumnFormula>
    </tableColumn>
    <tableColumn id="17" xr3:uid="{621435FA-E07F-45D2-BC54-BCB9E8ED79C3}" name="Judge 3_x000a_Tea Softić" dataDxfId="588"/>
    <tableColumn id="35" xr3:uid="{36E707F9-FE88-4F96-B36B-72889B478D04}" name="J3 (-)" dataDxfId="587"/>
    <tableColumn id="30" xr3:uid="{F966DB2E-C1F0-4ACC-9D8B-AA8E665AF904}" name="J3 TOTAL" dataDxfId="586">
      <calculatedColumnFormula>Majorette_Group_ModernMajoretteTeam_Junior[[#This Row],[Judge 3
Tea Softić]]-R2</calculatedColumnFormula>
    </tableColumn>
    <tableColumn id="6" xr3:uid="{914E61D1-A712-4F0E-BD6B-A38C1BEBB522}" name="J3 (Rank)" dataDxfId="585">
      <calculatedColumnFormula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Row],[Category]],Majorette_Group_ModernMajoretteTeam_Junior[J3 TOTAL],"&gt;"&amp;Majorette_Group_ModernMajoretteTeam_Junior[[#This Row],[J3 TOTAL]])+1</calculatedColumnFormula>
    </tableColumn>
    <tableColumn id="18" xr3:uid="{1A93C3B9-7327-49F6-9601-BA0D5CE1AF1C}" name="Judge 4_x000a_Bernard Barač" dataDxfId="584"/>
    <tableColumn id="36" xr3:uid="{92A4BFC7-C915-4AF8-B667-D1CE47365009}" name="J4 (-)" dataDxfId="583"/>
    <tableColumn id="31" xr3:uid="{DEE9B692-0FCE-43F8-ADE8-761562A2D3E4}" name="J4 TOTAL" dataDxfId="582">
      <calculatedColumnFormula>Majorette_Group_ModernMajoretteTeam_Junior[[#This Row],[Judge 4
Bernard Barač]]-V2</calculatedColumnFormula>
    </tableColumn>
    <tableColumn id="7" xr3:uid="{8D803771-F36D-42CE-B993-3EEE527D4542}" name="J4 (Rank)" dataDxfId="581">
      <calculatedColumnFormula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Row],[Category]],Majorette_Group_ModernMajoretteTeam_Junior[J4 TOTAL],"&gt;"&amp;Majorette_Group_ModernMajoretteTeam_Junior[[#This Row],[J4 TOTAL]])+1</calculatedColumnFormula>
    </tableColumn>
    <tableColumn id="12" xr3:uid="{2B9956EB-CCE3-4AA0-BF22-DB3605F8DE2A}" name="Judge 5_x000a_Barbara Novina" dataDxfId="580"/>
    <tableColumn id="11" xr3:uid="{328A8ED7-D4DB-41A0-8A5D-04DDC25508A6}" name="J5 (-)" dataDxfId="579"/>
    <tableColumn id="10" xr3:uid="{6CCA476C-1E7B-4686-9397-FD600A92D6AF}" name="J5 TOTAL" dataDxfId="578">
      <calculatedColumnFormula>Majorette_Group_ModernMajoretteTeam_Junior[[#This Row],[Judge 5
Barbara Novina]]-Z2</calculatedColumnFormula>
    </tableColumn>
    <tableColumn id="2" xr3:uid="{93844A8C-58F9-47AF-AB75-B7AF535D08E0}" name="J5 (Rank)" dataDxfId="577">
      <calculatedColumnFormula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Row],[Category]],Majorette_Group_ModernMajoretteTeam_Junior[J5 TOTAL],"&gt;"&amp;Majorette_Group_ModernMajoretteTeam_Junior[[#This Row],[J5 TOTAL]])+1</calculatedColumnFormula>
    </tableColumn>
    <tableColumn id="20" xr3:uid="{E667035B-B82C-49C0-AA7E-D7FFF078F967}" name="Total" dataDxfId="576">
      <calculatedColumnFormula>SUM(Majorette_Group_ModernMajoretteTeam_Junior[[#This Row],[J1 TOTAL]]+Majorette_Group_ModernMajoretteTeam_Junior[[#This Row],[J2 TOTAL]]+Majorette_Group_ModernMajoretteTeam_Junior[[#This Row],[J3 TOTAL]]+Majorette_Group_ModernMajoretteTeam_Junior[[#This Row],[J4 TOTAL]])+Majorette_Group_ModernMajoretteTeam_Junior[[#This Row],[J5 TOTAL]]</calculatedColumnFormula>
    </tableColumn>
    <tableColumn id="23" xr3:uid="{44BCD02A-18E3-4F05-894B-E0BC3FAD3DCA}" name="Low" dataDxfId="575">
      <calculatedColumnFormula>MIN(Majorette_Group_ModernMajoretteTeam_Junior[[#This Row],[J1 TOTAL]],Majorette_Group_ModernMajoretteTeam_Junior[[#This Row],[J2 TOTAL]],Majorette_Group_ModernMajoretteTeam_Junior[[#This Row],[J3 TOTAL]],Majorette_Group_ModernMajoretteTeam_Junior[[#This Row],[J4 TOTAL]],Majorette_Group_ModernMajoretteTeam_Junior[[#This Row],[J5 TOTAL]])</calculatedColumnFormula>
    </tableColumn>
    <tableColumn id="19" xr3:uid="{A18F28FA-929F-45A4-9370-B930E40735E7}" name="High" dataDxfId="574">
      <calculatedColumnFormula>MAX(Majorette_Group_ModernMajoretteTeam_Junior[[#This Row],[J1 TOTAL]],Majorette_Group_ModernMajoretteTeam_Junior[[#This Row],[J2 TOTAL]],Majorette_Group_ModernMajoretteTeam_Junior[[#This Row],[J3 TOTAL]],Majorette_Group_ModernMajoretteTeam_Junior[[#This Row],[J4 TOTAL]],Majorette_Group_ModernMajoretteTeam_Junior[[#This Row],[J5 TOTAL]],)</calculatedColumnFormula>
    </tableColumn>
    <tableColumn id="25" xr3:uid="{25EE7999-D8F1-46AC-BF92-A2D83BE31E50}" name="Final Total" dataDxfId="573">
      <calculatedColumnFormula>SUM(Majorette_Group_ModernMajoretteTeam_Junior[[#This Row],[Total]]-Majorette_Group_ModernMajoretteTeam_Junior[[#This Row],[Low]]-Majorette_Group_ModernMajoretteTeam_Junior[[#This Row],[High]])</calculatedColumnFormula>
    </tableColumn>
    <tableColumn id="24" xr3:uid="{BC60D0E5-4D07-4B1B-98B7-9F17E00B55E3}" name="Avg" dataDxfId="572">
      <calculatedColumnFormula>AVERAGE(I2,M2,Q2,U2,Y2)</calculatedColumnFormula>
    </tableColumn>
    <tableColumn id="22" xr3:uid="{2D546151-76AB-4D4C-B836-07AC846EC55A}" name="FINAL SCORE" dataDxfId="571">
      <calculatedColumnFormula>Majorette_Group_ModernMajoretteTeam_Junior[[#This Row],[Final Total]]</calculatedColumnFormula>
    </tableColumn>
    <tableColumn id="27" xr3:uid="{D3525FC0-6D1B-40DA-8D24-EA81C5C89253}" name="Rank" dataDxfId="570">
      <calculatedColumnFormula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Row],[Category]],Majorette_Group_ModernMajoretteTeam_Junior[FINAL SCORE],"&gt;"&amp;Majorette_Group_ModernMajoretteTeam_Junior[[#This Row],[FINAL SCORE]])+1</calculatedColumnFormula>
    </tableColumn>
    <tableColumn id="39" xr3:uid="{A1576140-E30A-4E18-AC98-39BA18B434E4}" name="Category Type" dataDxfId="569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B95A96F-AAD0-42CE-AB5A-2A846AC811A5}" name="Majorette_Group_ModernMajoretteGroup_Cadet" displayName="Majorette_Group_ModernMajoretteGroup_Cadet" ref="A1:AJ2" totalsRowShown="0" headerRowDxfId="530" dataDxfId="529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1032C82E-DE01-4578-8F9D-53B90B5AFF06}" name="Start No." dataDxfId="566"/>
    <tableColumn id="8" xr3:uid="{06258BFF-CB00-4943-AA85-B250A6408BFD}" name="Lane" dataDxfId="565"/>
    <tableColumn id="9" xr3:uid="{D61E9769-1AC8-42DE-B3C1-7E4F2B22B180}" name="Category" dataDxfId="564"/>
    <tableColumn id="32" xr3:uid="{2813A210-38CA-4FA7-8E98-1F218875285C}" name="Age_x000a_Division" dataDxfId="563"/>
    <tableColumn id="40" xr3:uid="{497561DC-35DE-4FB9-B676-FC3A07F2541F}" name="Level" dataDxfId="562"/>
    <tableColumn id="4" xr3:uid="{058598D7-06CE-4F61-8255-8ADEA3FD5359}" name="Athlete" dataDxfId="561"/>
    <tableColumn id="38" xr3:uid="{658B032B-A2C3-4DD6-A9F2-DADA2DE72B66}" name="Club" dataDxfId="560"/>
    <tableColumn id="37" xr3:uid="{BE6927CF-0AD1-40CE-A620-841EEC9E9DD6}" name="Country" dataDxfId="559"/>
    <tableColumn id="15" xr3:uid="{C2387F49-E2DC-4F72-A47C-15D50C5C088A}" name="Judge 1_x000a_Tamara Beljak" dataDxfId="558"/>
    <tableColumn id="33" xr3:uid="{0F6E0F5E-5314-4E70-977B-4F93155E1535}" name="J1 (-)" dataDxfId="557"/>
    <tableColumn id="26" xr3:uid="{47CA3EA3-E24B-481C-B62B-5C82BCB4B062}" name="J1 TOTAL" dataDxfId="556">
      <calculatedColumnFormula>Majorette_Group_ModernMajoretteGroup_Cadet[[#This Row],[Judge 1
Tamara Beljak]]-J2</calculatedColumnFormula>
    </tableColumn>
    <tableColumn id="3" xr3:uid="{1DED05E9-0F5E-48D6-9770-F9A478C95801}" name="J1 (Rank)" dataDxfId="555">
      <calculatedColumnFormula>COUNTIFS(Majorette_Group_ModernMajoretteGroup_Cadet[Age
Division],Majorette_Group_ModernMajoretteGroup_Cadet[[#This Row],[Age
Division]],Majorette_Group_ModernMajoretteGroup_Cadet[Category],Majorette_Group_ModernMajoretteGroup_Cadet[[#This Row],[Category]],Majorette_Group_ModernMajoretteGroup_Cadet[J1 TOTAL],"&gt;"&amp;Majorette_Group_ModernMajoretteGroup_Cadet[[#This Row],[J1 TOTAL]])+1</calculatedColumnFormula>
    </tableColumn>
    <tableColumn id="16" xr3:uid="{21181C8D-DFCB-4B51-B6F5-F29E709DBDC0}" name="Judge 2_x000a_Tihomir Bendelja" dataDxfId="554"/>
    <tableColumn id="34" xr3:uid="{38153B43-4CB3-4F0C-923E-09E6F76F4325}" name="J2 (-)" dataDxfId="553"/>
    <tableColumn id="28" xr3:uid="{59873C91-64AC-4EDA-8476-A7C9D61B1550}" name="J2 TOTAL" dataDxfId="552">
      <calculatedColumnFormula>Majorette_Group_ModernMajoretteGroup_Cadet[[#This Row],[Judge 2
Tihomir Bendelja]]-Majorette_Group_ModernMajoretteGroup_Cadet[[#This Row],[J2 (-)]]</calculatedColumnFormula>
    </tableColumn>
    <tableColumn id="5" xr3:uid="{AE5C1564-FE3F-4F6F-9FC1-4EA1D15DC974}" name="J2 (Rank)" dataDxfId="551">
      <calculatedColumnFormula>COUNTIFS(Majorette_Group_ModernMajoretteGroup_Cadet[Age
Division],Majorette_Group_ModernMajoretteGroup_Cadet[[#This Row],[Age
Division]],Majorette_Group_ModernMajoretteGroup_Cadet[Category],Majorette_Group_ModernMajoretteGroup_Cadet[[#This Row],[Category]],Majorette_Group_ModernMajoretteGroup_Cadet[J2 TOTAL],"&gt;"&amp;Majorette_Group_ModernMajoretteGroup_Cadet[[#This Row],[J2 TOTAL]])+1</calculatedColumnFormula>
    </tableColumn>
    <tableColumn id="17" xr3:uid="{2DBEEC8C-AA38-40CE-AB63-46970894E55E}" name="Judge 3_x000a_Tea Softić" dataDxfId="550"/>
    <tableColumn id="35" xr3:uid="{794486E3-E70C-4441-9633-0733CE1BA72A}" name="J3 (-)" dataDxfId="549"/>
    <tableColumn id="30" xr3:uid="{C1B21CF6-6339-4276-ACB5-DDBB6EC04DCF}" name="J3 TOTAL" dataDxfId="548">
      <calculatedColumnFormula>Majorette_Group_ModernMajoretteGroup_Cadet[[#This Row],[Judge 3
Tea Softić]]-R2</calculatedColumnFormula>
    </tableColumn>
    <tableColumn id="6" xr3:uid="{CFDEB7BD-0CC4-4D97-AAAA-F8886BC0DE91}" name="J3 (Rank)" dataDxfId="547">
      <calculatedColumnFormula>COUNTIFS(Majorette_Group_ModernMajoretteGroup_Cadet[Age
Division],Majorette_Group_ModernMajoretteGroup_Cadet[[#This Row],[Age
Division]],Majorette_Group_ModernMajoretteGroup_Cadet[Category],Majorette_Group_ModernMajoretteGroup_Cadet[[#This Row],[Category]],Majorette_Group_ModernMajoretteGroup_Cadet[J3 TOTAL],"&gt;"&amp;Majorette_Group_ModernMajoretteGroup_Cadet[[#This Row],[J3 TOTAL]])+1</calculatedColumnFormula>
    </tableColumn>
    <tableColumn id="18" xr3:uid="{9C5FD3A1-0BBB-44D3-937A-DB8B02D9908D}" name="Judge 4_x000a_Bernard Barač" dataDxfId="546"/>
    <tableColumn id="36" xr3:uid="{40F18ECC-20B7-41A0-86E3-45D1604D037E}" name="J4 (-)" dataDxfId="545"/>
    <tableColumn id="31" xr3:uid="{60F3DAEE-4333-4EB9-A124-AA211C0E29B1}" name="J4 TOTAL" dataDxfId="544">
      <calculatedColumnFormula>Majorette_Group_ModernMajoretteGroup_Cadet[[#This Row],[Judge 4
Bernard Barač]]-V2</calculatedColumnFormula>
    </tableColumn>
    <tableColumn id="7" xr3:uid="{05533C3D-3D96-4CE4-9180-DC22CB2E48FF}" name="J4 (Rank)" dataDxfId="543">
      <calculatedColumnFormula>COUNTIFS(Majorette_Group_ModernMajoretteGroup_Cadet[Age
Division],Majorette_Group_ModernMajoretteGroup_Cadet[[#This Row],[Age
Division]],Majorette_Group_ModernMajoretteGroup_Cadet[Category],Majorette_Group_ModernMajoretteGroup_Cadet[[#This Row],[Category]],Majorette_Group_ModernMajoretteGroup_Cadet[J4 TOTAL],"&gt;"&amp;Majorette_Group_ModernMajoretteGroup_Cadet[[#This Row],[J4 TOTAL]])+1</calculatedColumnFormula>
    </tableColumn>
    <tableColumn id="12" xr3:uid="{CD281EB3-7669-4641-B11A-C5EB6EE2D176}" name="Judge 5_x000a_Barbara Novina" dataDxfId="542"/>
    <tableColumn id="11" xr3:uid="{D9C54629-E78D-427B-A03C-4FAFC35CA6A7}" name="J5 (-)" dataDxfId="541"/>
    <tableColumn id="10" xr3:uid="{2612A099-1C1F-46DD-A25A-DC724C4EB413}" name="J5 TOTAL" dataDxfId="540">
      <calculatedColumnFormula>Majorette_Group_ModernMajoretteGroup_Cadet[[#This Row],[Judge 5
Barbara Novina]]-Z2</calculatedColumnFormula>
    </tableColumn>
    <tableColumn id="2" xr3:uid="{B0EB171E-891A-40F9-BA5D-16F1AE04E739}" name="J5 (Rank)" dataDxfId="539">
      <calculatedColumnFormula>COUNTIFS(Majorette_Group_ModernMajoretteGroup_Cadet[Age
Division],Majorette_Group_ModernMajoretteGroup_Cadet[[#This Row],[Age
Division]],Majorette_Group_ModernMajoretteGroup_Cadet[Category],Majorette_Group_ModernMajoretteGroup_Cadet[[#This Row],[Category]],Majorette_Group_ModernMajoretteGroup_Cadet[J5 TOTAL],"&gt;"&amp;Majorette_Group_ModernMajoretteGroup_Cadet[[#This Row],[J5 TOTAL]])+1</calculatedColumnFormula>
    </tableColumn>
    <tableColumn id="20" xr3:uid="{AA697084-899C-4D9A-8703-A29624C43BFC}" name="Total" dataDxfId="538">
      <calculatedColumnFormula>SUM(Majorette_Group_ModernMajoretteGroup_Cadet[[#This Row],[J1 TOTAL]]+Majorette_Group_ModernMajoretteGroup_Cadet[[#This Row],[J2 TOTAL]]+Majorette_Group_ModernMajoretteGroup_Cadet[[#This Row],[J3 TOTAL]]+Majorette_Group_ModernMajoretteGroup_Cadet[[#This Row],[J4 TOTAL]])+Majorette_Group_ModernMajoretteGroup_Cadet[[#This Row],[J5 TOTAL]]</calculatedColumnFormula>
    </tableColumn>
    <tableColumn id="23" xr3:uid="{BEFFEF06-554E-4963-B3B9-8613BEB5C47D}" name="Low" dataDxfId="537">
      <calculatedColumnFormula>MIN(Majorette_Group_ModernMajoretteGroup_Cadet[[#This Row],[J1 TOTAL]],Majorette_Group_ModernMajoretteGroup_Cadet[[#This Row],[J2 TOTAL]],Majorette_Group_ModernMajoretteGroup_Cadet[[#This Row],[J3 TOTAL]],Majorette_Group_ModernMajoretteGroup_Cadet[[#This Row],[J4 TOTAL]],Majorette_Group_ModernMajoretteGroup_Cadet[[#This Row],[J5 TOTAL]])</calculatedColumnFormula>
    </tableColumn>
    <tableColumn id="19" xr3:uid="{A9849D7A-7EA1-40CB-8645-F48E8487C3BE}" name="High" dataDxfId="536">
      <calculatedColumnFormula>MAX(Majorette_Group_ModernMajoretteGroup_Cadet[[#This Row],[J1 TOTAL]],Majorette_Group_ModernMajoretteGroup_Cadet[[#This Row],[J2 TOTAL]],Majorette_Group_ModernMajoretteGroup_Cadet[[#This Row],[J3 TOTAL]],Majorette_Group_ModernMajoretteGroup_Cadet[[#This Row],[J4 TOTAL]],Majorette_Group_ModernMajoretteGroup_Cadet[[#This Row],[J5 TOTAL]],)</calculatedColumnFormula>
    </tableColumn>
    <tableColumn id="25" xr3:uid="{57835048-1498-4719-957C-3E620A01B140}" name="Final Total" dataDxfId="535">
      <calculatedColumnFormula>SUM(Majorette_Group_ModernMajoretteGroup_Cadet[[#This Row],[Total]]-Majorette_Group_ModernMajoretteGroup_Cadet[[#This Row],[Low]]-Majorette_Group_ModernMajoretteGroup_Cadet[[#This Row],[High]])</calculatedColumnFormula>
    </tableColumn>
    <tableColumn id="24" xr3:uid="{736603C4-855C-426A-8293-3F489D78ED67}" name="Avg" dataDxfId="534">
      <calculatedColumnFormula>AVERAGE(I2,M2,Q2,U2,Y2)</calculatedColumnFormula>
    </tableColumn>
    <tableColumn id="22" xr3:uid="{882A5B08-F538-4829-9159-59BFC9CA9D31}" name="FINAL SCORE" dataDxfId="533">
      <calculatedColumnFormula>Majorette_Group_ModernMajoretteGroup_Cadet[[#This Row],[Final Total]]</calculatedColumnFormula>
    </tableColumn>
    <tableColumn id="27" xr3:uid="{34597CC1-BAFF-4608-88DC-A50E37B1DD35}" name="Rank" dataDxfId="532">
      <calculatedColumnFormula>COUNTIFS(Majorette_Group_ModernMajoretteGroup_Cadet[Age
Division],Majorette_Group_ModernMajoretteGroup_Cadet[[#This Row],[Age
Division]],Majorette_Group_ModernMajoretteGroup_Cadet[Category],Majorette_Group_ModernMajoretteGroup_Cadet[[#This Row],[Category]],Majorette_Group_ModernMajoretteGroup_Cadet[FINAL SCORE],"&gt;"&amp;Majorette_Group_ModernMajoretteGroup_Cadet[[#This Row],[FINAL SCORE]])+1</calculatedColumnFormula>
    </tableColumn>
    <tableColumn id="39" xr3:uid="{A5896571-B6D7-430F-8FB6-4FF7F698DCC1}" name="Category Type" dataDxfId="5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B7392FC-39BC-4EBB-B712-4953F5EA6EE0}" name="Majorette_Solo_MajoretteSolo_Junior" displayName="Majorette_Solo_MajoretteSolo_Junior" ref="A1:AJ7" totalsRowShown="0" headerRowDxfId="1518" dataDxfId="1517">
  <autoFilter ref="A1:AJ7" xr:uid="{042C9DAD-4CB0-4D2A-8C87-3D9863992DF4}"/>
  <sortState xmlns:xlrd2="http://schemas.microsoft.com/office/spreadsheetml/2017/richdata2" ref="A2:AJ7">
    <sortCondition ref="AI1:AI7"/>
  </sortState>
  <tableColumns count="36">
    <tableColumn id="1" xr3:uid="{B6B66601-5D85-4B3A-B320-8F7A7CB53F63}" name="Start No." dataDxfId="1554"/>
    <tableColumn id="8" xr3:uid="{62E3B776-0AD6-4932-917D-71C6561B669B}" name="Lane" dataDxfId="1553"/>
    <tableColumn id="9" xr3:uid="{CBBB02FF-92E0-4D70-9D9A-6B4FA42DFC05}" name="Category" dataDxfId="1552"/>
    <tableColumn id="32" xr3:uid="{0C4C6C2B-EE31-46F1-AC60-CC5EF275CF46}" name="Age_x000a_Division" dataDxfId="1551"/>
    <tableColumn id="40" xr3:uid="{EF1B8B8F-86A3-4AFC-9F4A-438EBB0C7D2B}" name="Level" dataDxfId="1550"/>
    <tableColumn id="4" xr3:uid="{3BD1B678-D72E-413B-9518-ED36F524517E}" name="Athlete" dataDxfId="1549"/>
    <tableColumn id="38" xr3:uid="{DB41BA1E-F10B-49F3-AB3B-1800C78F748D}" name="Club" dataDxfId="1548"/>
    <tableColumn id="37" xr3:uid="{F664D748-74F8-493A-811B-6FEC6ECB9716}" name="Country" dataDxfId="1547"/>
    <tableColumn id="15" xr3:uid="{1FC25EB7-353B-42DD-9DDC-4888FA15494F}" name="Judge 1_x000a_Tamara Beljak" dataDxfId="1546"/>
    <tableColumn id="33" xr3:uid="{F68FC854-6ED1-462F-85DD-490C2BCB7966}" name="J1 (-)" dataDxfId="1545"/>
    <tableColumn id="26" xr3:uid="{B7BC6866-FE9A-4058-A875-8756B4481066}" name="J1 TOTAL" dataDxfId="1544">
      <calculatedColumnFormula>Majorette_Solo_MajoretteSolo_Junior[[#This Row],[Judge 1
Tamara Beljak]]-J2</calculatedColumnFormula>
    </tableColumn>
    <tableColumn id="3" xr3:uid="{C7D5DEE1-1373-4E42-9A1F-02169D2F331A}" name="J1 (Rank)" dataDxfId="1543">
      <calculatedColumnFormula>COUNTIFS(Majorette_Solo_MajoretteSolo_Junior[Age
Division],Majorette_Solo_MajoretteSolo_Junior[[#This Row],[Age
Division]],Majorette_Solo_MajoretteSolo_Junior[Category],Majorette_Solo_MajoretteSolo_Junior[[#This Row],[Category]],Majorette_Solo_MajoretteSolo_Junior[J1 TOTAL],"&gt;"&amp;Majorette_Solo_MajoretteSolo_Junior[[#This Row],[J1 TOTAL]])+1</calculatedColumnFormula>
    </tableColumn>
    <tableColumn id="16" xr3:uid="{C9FB1D3E-76A1-4019-A2D6-305A00CF857A}" name="Judge 2_x000a_Tihomir Bendelja" dataDxfId="1542"/>
    <tableColumn id="34" xr3:uid="{75A3E136-759A-4A9F-B5A9-7DA79B9C79B6}" name="J2 (-)" dataDxfId="1541"/>
    <tableColumn id="28" xr3:uid="{6FF78C45-6EE5-4A2F-9E4F-78710947EFB6}" name="J2 TOTAL" dataDxfId="1540">
      <calculatedColumnFormula>Majorette_Solo_MajoretteSolo_Junior[[#This Row],[Judge 2
Tihomir Bendelja]]-Majorette_Solo_MajoretteSolo_Junior[[#This Row],[J2 (-)]]</calculatedColumnFormula>
    </tableColumn>
    <tableColumn id="5" xr3:uid="{2670C8B7-BE90-4690-95AB-1F77A47F97F0}" name="J2 (Rank)" dataDxfId="1539">
      <calculatedColumnFormula>COUNTIFS(Majorette_Solo_MajoretteSolo_Junior[Age
Division],Majorette_Solo_MajoretteSolo_Junior[[#This Row],[Age
Division]],Majorette_Solo_MajoretteSolo_Junior[Category],Majorette_Solo_MajoretteSolo_Junior[[#This Row],[Category]],Majorette_Solo_MajoretteSolo_Junior[J2 TOTAL],"&gt;"&amp;Majorette_Solo_MajoretteSolo_Junior[[#This Row],[J2 TOTAL]])+1</calculatedColumnFormula>
    </tableColumn>
    <tableColumn id="17" xr3:uid="{86E4A74F-EEA8-4488-A628-F9E5B093C411}" name="Judge 3_x000a_Tea Softić" dataDxfId="1538"/>
    <tableColumn id="35" xr3:uid="{D5F200AA-885E-4A3A-B12A-F751379B3B9A}" name="J3 (-)" dataDxfId="1537"/>
    <tableColumn id="30" xr3:uid="{67FF1CB5-8612-4633-836A-8180A5DF2E25}" name="J3 TOTAL" dataDxfId="1536">
      <calculatedColumnFormula>Majorette_Solo_MajoretteSolo_Junior[[#This Row],[Judge 3
Tea Softić]]-R2</calculatedColumnFormula>
    </tableColumn>
    <tableColumn id="6" xr3:uid="{C40936EB-BA57-49E3-B88C-F4BDB4538661}" name="J3 (Rank)" dataDxfId="1535">
      <calculatedColumnFormula>COUNTIFS(Majorette_Solo_MajoretteSolo_Junior[Age
Division],Majorette_Solo_MajoretteSolo_Junior[[#This Row],[Age
Division]],Majorette_Solo_MajoretteSolo_Junior[Category],Majorette_Solo_MajoretteSolo_Junior[[#This Row],[Category]],Majorette_Solo_MajoretteSolo_Junior[J3 TOTAL],"&gt;"&amp;Majorette_Solo_MajoretteSolo_Junior[[#This Row],[J3 TOTAL]])+1</calculatedColumnFormula>
    </tableColumn>
    <tableColumn id="18" xr3:uid="{B581A773-70C6-43CD-9E67-96471FE2B87A}" name="Judge 4_x000a_Bernard Barač" dataDxfId="1534"/>
    <tableColumn id="36" xr3:uid="{7E45B4BC-F879-47EC-91E7-9085AD4CF903}" name="J4 (-)" dataDxfId="1533"/>
    <tableColumn id="31" xr3:uid="{AAE000FC-9766-414B-AF18-7AFB1821072A}" name="J4 TOTAL" dataDxfId="1532">
      <calculatedColumnFormula>Majorette_Solo_MajoretteSolo_Junior[[#This Row],[Judge 4
Bernard Barač]]-V2</calculatedColumnFormula>
    </tableColumn>
    <tableColumn id="7" xr3:uid="{FAFF02B7-35F4-4693-9C57-590D45E9E873}" name="J4 (Rank)" dataDxfId="1531">
      <calculatedColumnFormula>COUNTIFS(Majorette_Solo_MajoretteSolo_Junior[Age
Division],Majorette_Solo_MajoretteSolo_Junior[[#This Row],[Age
Division]],Majorette_Solo_MajoretteSolo_Junior[Category],Majorette_Solo_MajoretteSolo_Junior[[#This Row],[Category]],Majorette_Solo_MajoretteSolo_Junior[J4 TOTAL],"&gt;"&amp;Majorette_Solo_MajoretteSolo_Junior[[#This Row],[J4 TOTAL]])+1</calculatedColumnFormula>
    </tableColumn>
    <tableColumn id="12" xr3:uid="{4A2A8451-F5DA-40D6-A4DB-F2FD0DCE79B9}" name="Judge 5_x000a_Barbara Novina" dataDxfId="1530"/>
    <tableColumn id="11" xr3:uid="{3CBECF0F-AC30-442B-AA00-DEF575A38078}" name="J5 (-)" dataDxfId="1529"/>
    <tableColumn id="10" xr3:uid="{CA41855B-32AD-42A4-B63C-F33C2ADE674F}" name="J5 TOTAL" dataDxfId="1528">
      <calculatedColumnFormula>Majorette_Solo_MajoretteSolo_Junior[[#This Row],[Judge 5
Barbara Novina]]-Z2</calculatedColumnFormula>
    </tableColumn>
    <tableColumn id="2" xr3:uid="{722397D3-F392-4955-8CE1-4BA41A5B7A4A}" name="J5 (Rank)" dataDxfId="1527">
      <calculatedColumnFormula>COUNTIFS(Majorette_Solo_MajoretteSolo_Junior[Age
Division],Majorette_Solo_MajoretteSolo_Junior[[#This Row],[Age
Division]],Majorette_Solo_MajoretteSolo_Junior[Category],Majorette_Solo_MajoretteSolo_Junior[[#This Row],[Category]],Majorette_Solo_MajoretteSolo_Junior[J5 TOTAL],"&gt;"&amp;Majorette_Solo_MajoretteSolo_Junior[[#This Row],[J5 TOTAL]])+1</calculatedColumnFormula>
    </tableColumn>
    <tableColumn id="20" xr3:uid="{23FDBAF0-9278-4C2C-B119-F0F4A279F802}" name="Total" dataDxfId="1526">
      <calculatedColumnFormula>SUM(Majorette_Solo_MajoretteSolo_Junior[[#This Row],[J1 TOTAL]]+Majorette_Solo_MajoretteSolo_Junior[[#This Row],[J2 TOTAL]]+Majorette_Solo_MajoretteSolo_Junior[[#This Row],[J3 TOTAL]]+Majorette_Solo_MajoretteSolo_Junior[[#This Row],[J4 TOTAL]])+Majorette_Solo_MajoretteSolo_Junior[[#This Row],[J5 TOTAL]]</calculatedColumnFormula>
    </tableColumn>
    <tableColumn id="23" xr3:uid="{59BFA97C-7875-47F8-BC51-6787110ACD20}" name="Low" dataDxfId="1525"/>
    <tableColumn id="19" xr3:uid="{DA123960-87EA-4643-828C-A2ECC201A3F6}" name="High" dataDxfId="1524"/>
    <tableColumn id="25" xr3:uid="{3242B40F-7AC1-4CFE-B743-035D1A985E43}" name="Final Total" dataDxfId="1523">
      <calculatedColumnFormula>SUM(Majorette_Solo_MajoretteSolo_Junior[[#This Row],[Total]]-Majorette_Solo_MajoretteSolo_Junior[[#This Row],[Low]]-Majorette_Solo_MajoretteSolo_Junior[[#This Row],[High]])</calculatedColumnFormula>
    </tableColumn>
    <tableColumn id="24" xr3:uid="{8EEC421E-32BD-4CE6-B2D7-8C1D60C2CDAC}" name="Avg" dataDxfId="1522">
      <calculatedColumnFormula>AVERAGE(I2,M2,Q2,U2,Y2)</calculatedColumnFormula>
    </tableColumn>
    <tableColumn id="22" xr3:uid="{8FAB07D0-DF53-4287-92E7-598B1055578D}" name="FINAL SCORE" dataDxfId="1521">
      <calculatedColumnFormula>Majorette_Solo_MajoretteSolo_Junior[[#This Row],[Final Total]]</calculatedColumnFormula>
    </tableColumn>
    <tableColumn id="27" xr3:uid="{7E193EDD-771A-4559-A4C7-D17727C7E5E2}" name="Rank" dataDxfId="1520">
      <calculatedColumnFormula>COUNTIFS(Majorette_Solo_MajoretteSolo_Junior[Age
Division],Majorette_Solo_MajoretteSolo_Junior[[#This Row],[Age
Division]],Majorette_Solo_MajoretteSolo_Junior[Category],Majorette_Solo_MajoretteSolo_Junior[[#This Row],[Category]],Majorette_Solo_MajoretteSolo_Junior[FINAL SCORE],"&gt;"&amp;Majorette_Solo_MajoretteSolo_Junior[[#This Row],[FINAL SCORE]])+1</calculatedColumnFormula>
    </tableColumn>
    <tableColumn id="39" xr3:uid="{95AB37A3-2C5B-4C7D-9F26-B95FC0B7E6AE}" name="Category Type" dataDxfId="1519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5F53D5FE-B5AF-4B06-951A-255907D6877D}" name="Majorette_Group_ModernMajoretteGroup_Junior" displayName="Majorette_Group_ModernMajoretteGroup_Junior" ref="A1:AJ2" totalsRowShown="0" headerRowDxfId="492" dataDxfId="491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B3CE8A58-0B25-46F9-A023-7999DB50F6FE}" name="Start No." dataDxfId="528"/>
    <tableColumn id="8" xr3:uid="{774DEC1C-6B9E-4EC0-9998-1DD056362AD9}" name="Lane" dataDxfId="527"/>
    <tableColumn id="9" xr3:uid="{74AF9D9A-4259-42D5-8438-940408A71ADD}" name="Category" dataDxfId="526"/>
    <tableColumn id="32" xr3:uid="{F7F41E44-7787-46F2-9F7F-653617AD767E}" name="Age_x000a_Division" dataDxfId="525"/>
    <tableColumn id="40" xr3:uid="{DE21117C-0558-4D6A-80F5-0B0D3F9E6160}" name="Level" dataDxfId="524"/>
    <tableColumn id="4" xr3:uid="{48671BB6-CD83-480E-AF0C-9CB3D95D95CE}" name="Athlete" dataDxfId="523"/>
    <tableColumn id="38" xr3:uid="{DD1A606A-D542-4E43-AB98-3ED07831D8EF}" name="Club" dataDxfId="522"/>
    <tableColumn id="37" xr3:uid="{A7854115-31E2-42D7-9286-E97D044900C3}" name="Country" dataDxfId="521"/>
    <tableColumn id="15" xr3:uid="{D102A350-D20F-46FD-BAB0-43CD450AC559}" name="Judge 1_x000a_Tamara Beljak" dataDxfId="520"/>
    <tableColumn id="33" xr3:uid="{ED2E24B0-A8E1-4217-AF6B-5BC48BB7DB09}" name="J1 (-)" dataDxfId="519"/>
    <tableColumn id="26" xr3:uid="{16739CEE-10AF-4AF8-900C-B89FB01BA37C}" name="J1 TOTAL" dataDxfId="518">
      <calculatedColumnFormula>Majorette_Group_ModernMajoretteGroup_Junior[[#This Row],[Judge 1
Tamara Beljak]]-J2</calculatedColumnFormula>
    </tableColumn>
    <tableColumn id="3" xr3:uid="{1749F97E-A901-4981-9D14-35763B28DCC5}" name="J1 (Rank)" dataDxfId="517">
      <calculatedColumnFormula>COUNTIFS(Majorette_Group_ModernMajoretteGroup_Junior[Age
Division],Majorette_Group_ModernMajoretteGroup_Junior[[#This Row],[Age
Division]],Majorette_Group_ModernMajoretteGroup_Junior[Category],Majorette_Group_ModernMajoretteGroup_Junior[[#This Row],[Category]],Majorette_Group_ModernMajoretteGroup_Junior[J1 TOTAL],"&gt;"&amp;Majorette_Group_ModernMajoretteGroup_Junior[[#This Row],[J1 TOTAL]])+1</calculatedColumnFormula>
    </tableColumn>
    <tableColumn id="16" xr3:uid="{A9253182-0CAE-40BA-810B-29CD8DEEC1D0}" name="Judge 2_x000a_Tihomir Bendelja" dataDxfId="516"/>
    <tableColumn id="34" xr3:uid="{533B289B-D39F-4031-92CA-CA018D98D9CA}" name="J2 (-)" dataDxfId="515"/>
    <tableColumn id="28" xr3:uid="{F1238F77-8EA0-464C-B13A-8197AFE80EAE}" name="J2 TOTAL" dataDxfId="514">
      <calculatedColumnFormula>Majorette_Group_ModernMajoretteGroup_Junior[[#This Row],[Judge 2
Tihomir Bendelja]]-Majorette_Group_ModernMajoretteGroup_Junior[[#This Row],[J2 (-)]]</calculatedColumnFormula>
    </tableColumn>
    <tableColumn id="5" xr3:uid="{AB522858-4661-4EC9-8E70-24EDF7245713}" name="J2 (Rank)" dataDxfId="513">
      <calculatedColumnFormula>COUNTIFS(Majorette_Group_ModernMajoretteGroup_Junior[Age
Division],Majorette_Group_ModernMajoretteGroup_Junior[[#This Row],[Age
Division]],Majorette_Group_ModernMajoretteGroup_Junior[Category],Majorette_Group_ModernMajoretteGroup_Junior[[#This Row],[Category]],Majorette_Group_ModernMajoretteGroup_Junior[J2 TOTAL],"&gt;"&amp;Majorette_Group_ModernMajoretteGroup_Junior[[#This Row],[J2 TOTAL]])+1</calculatedColumnFormula>
    </tableColumn>
    <tableColumn id="17" xr3:uid="{FB9D4E0F-0015-4E80-A4C3-A6D60E2F6CDF}" name="Judge 3_x000a_Tea Softić" dataDxfId="512"/>
    <tableColumn id="35" xr3:uid="{B12D199B-A229-4A83-9501-E28A975A84D2}" name="J3 (-)" dataDxfId="511"/>
    <tableColumn id="30" xr3:uid="{1A54F7B8-CCAB-44B0-8DD8-58084897FA58}" name="J3 TOTAL" dataDxfId="510">
      <calculatedColumnFormula>Majorette_Group_ModernMajoretteGroup_Junior[[#This Row],[Judge 3
Tea Softić]]-R2</calculatedColumnFormula>
    </tableColumn>
    <tableColumn id="6" xr3:uid="{A144AB2B-A00E-419C-BA94-42A070CBFFF7}" name="J3 (Rank)" dataDxfId="509">
      <calculatedColumnFormula>COUNTIFS(Majorette_Group_ModernMajoretteGroup_Junior[Age
Division],Majorette_Group_ModernMajoretteGroup_Junior[[#This Row],[Age
Division]],Majorette_Group_ModernMajoretteGroup_Junior[Category],Majorette_Group_ModernMajoretteGroup_Junior[[#This Row],[Category]],Majorette_Group_ModernMajoretteGroup_Junior[J3 TOTAL],"&gt;"&amp;Majorette_Group_ModernMajoretteGroup_Junior[[#This Row],[J3 TOTAL]])+1</calculatedColumnFormula>
    </tableColumn>
    <tableColumn id="18" xr3:uid="{FDF553EF-EFC9-4EC5-856A-6FC3F375A01D}" name="Judge 4_x000a_Bernard Barač" dataDxfId="508"/>
    <tableColumn id="36" xr3:uid="{21083A30-A722-49FE-A47D-B97D9E94F409}" name="J4 (-)" dataDxfId="507"/>
    <tableColumn id="31" xr3:uid="{BC53D4DA-E881-482B-8AE6-C2907528E809}" name="J4 TOTAL" dataDxfId="506">
      <calculatedColumnFormula>Majorette_Group_ModernMajoretteGroup_Junior[[#This Row],[Judge 4
Bernard Barač]]-V2</calculatedColumnFormula>
    </tableColumn>
    <tableColumn id="7" xr3:uid="{D4141BA9-1A30-488B-B519-C55A3A734E7B}" name="J4 (Rank)" dataDxfId="505">
      <calculatedColumnFormula>COUNTIFS(Majorette_Group_ModernMajoretteGroup_Junior[Age
Division],Majorette_Group_ModernMajoretteGroup_Junior[[#This Row],[Age
Division]],Majorette_Group_ModernMajoretteGroup_Junior[Category],Majorette_Group_ModernMajoretteGroup_Junior[[#This Row],[Category]],Majorette_Group_ModernMajoretteGroup_Junior[J4 TOTAL],"&gt;"&amp;Majorette_Group_ModernMajoretteGroup_Junior[[#This Row],[J4 TOTAL]])+1</calculatedColumnFormula>
    </tableColumn>
    <tableColumn id="12" xr3:uid="{1C3B7F80-0588-4F08-AA7D-161F8DBF2FA8}" name="Judge 5_x000a_Barbara Novina" dataDxfId="504"/>
    <tableColumn id="11" xr3:uid="{5A3C7F9B-7CD3-4EE6-83A4-81D105BB7223}" name="J5 (-)" dataDxfId="503"/>
    <tableColumn id="10" xr3:uid="{DB7074E7-4F9F-4CD4-8EC0-2ECD6771B017}" name="J5 TOTAL" dataDxfId="502">
      <calculatedColumnFormula>Majorette_Group_ModernMajoretteGroup_Junior[[#This Row],[Judge 5
Barbara Novina]]-Z2</calculatedColumnFormula>
    </tableColumn>
    <tableColumn id="2" xr3:uid="{81D81719-E0B1-416C-80B2-01E6265F6948}" name="J5 (Rank)" dataDxfId="501">
      <calculatedColumnFormula>COUNTIFS(Majorette_Group_ModernMajoretteGroup_Junior[Age
Division],Majorette_Group_ModernMajoretteGroup_Junior[[#This Row],[Age
Division]],Majorette_Group_ModernMajoretteGroup_Junior[Category],Majorette_Group_ModernMajoretteGroup_Junior[[#This Row],[Category]],Majorette_Group_ModernMajoretteGroup_Junior[J5 TOTAL],"&gt;"&amp;Majorette_Group_ModernMajoretteGroup_Junior[[#This Row],[J5 TOTAL]])+1</calculatedColumnFormula>
    </tableColumn>
    <tableColumn id="20" xr3:uid="{1996CD17-8BCD-4CBE-98E0-167FCDFE91F6}" name="Total" dataDxfId="500">
      <calculatedColumnFormula>SUM(Majorette_Group_ModernMajoretteGroup_Junior[[#This Row],[J1 TOTAL]]+Majorette_Group_ModernMajoretteGroup_Junior[[#This Row],[J2 TOTAL]]+Majorette_Group_ModernMajoretteGroup_Junior[[#This Row],[J3 TOTAL]]+Majorette_Group_ModernMajoretteGroup_Junior[[#This Row],[J4 TOTAL]])+Majorette_Group_ModernMajoretteGroup_Junior[[#This Row],[J5 TOTAL]]</calculatedColumnFormula>
    </tableColumn>
    <tableColumn id="23" xr3:uid="{B848DA28-42D9-4323-A07C-2EBC06CD01BA}" name="Low" dataDxfId="499">
      <calculatedColumnFormula>MIN(Majorette_Group_ModernMajoretteGroup_Junior[[#This Row],[J1 TOTAL]],Majorette_Group_ModernMajoretteGroup_Junior[[#This Row],[J2 TOTAL]],Majorette_Group_ModernMajoretteGroup_Junior[[#This Row],[J3 TOTAL]],Majorette_Group_ModernMajoretteGroup_Junior[[#This Row],[J4 TOTAL]],Majorette_Group_ModernMajoretteGroup_Junior[[#This Row],[J5 TOTAL]])</calculatedColumnFormula>
    </tableColumn>
    <tableColumn id="19" xr3:uid="{6B852F2E-8445-4FC0-84DF-DF6315BD5C83}" name="High" dataDxfId="498">
      <calculatedColumnFormula>MAX(Majorette_Group_ModernMajoretteGroup_Junior[[#This Row],[J1 TOTAL]],Majorette_Group_ModernMajoretteGroup_Junior[[#This Row],[J2 TOTAL]],Majorette_Group_ModernMajoretteGroup_Junior[[#This Row],[J3 TOTAL]],Majorette_Group_ModernMajoretteGroup_Junior[[#This Row],[J4 TOTAL]],Majorette_Group_ModernMajoretteGroup_Junior[[#This Row],[J5 TOTAL]],)</calculatedColumnFormula>
    </tableColumn>
    <tableColumn id="25" xr3:uid="{494B91B2-5A4D-46D7-8EBD-FA2822E8BA33}" name="Final Total" dataDxfId="497">
      <calculatedColumnFormula>SUM(Majorette_Group_ModernMajoretteGroup_Junior[[#This Row],[Total]]-Majorette_Group_ModernMajoretteGroup_Junior[[#This Row],[Low]]-Majorette_Group_ModernMajoretteGroup_Junior[[#This Row],[High]])</calculatedColumnFormula>
    </tableColumn>
    <tableColumn id="24" xr3:uid="{7BDC1041-CF48-487D-874D-EA504FBCB90D}" name="Avg" dataDxfId="496">
      <calculatedColumnFormula>AVERAGE(I2,M2,Q2,U2,Y2)</calculatedColumnFormula>
    </tableColumn>
    <tableColumn id="22" xr3:uid="{3D2FE8E3-B0C6-4D98-B127-F0FAC8FDCECB}" name="FINAL SCORE" dataDxfId="495">
      <calculatedColumnFormula>Majorette_Group_ModernMajoretteGroup_Junior[[#This Row],[Final Total]]</calculatedColumnFormula>
    </tableColumn>
    <tableColumn id="27" xr3:uid="{9FF8A767-E3E0-4306-9474-B6B675F8AB3E}" name="Rank" dataDxfId="494">
      <calculatedColumnFormula>COUNTIFS(Majorette_Group_ModernMajoretteGroup_Junior[Age
Division],Majorette_Group_ModernMajoretteGroup_Junior[[#This Row],[Age
Division]],Majorette_Group_ModernMajoretteGroup_Junior[Category],Majorette_Group_ModernMajoretteGroup_Junior[[#This Row],[Category]],Majorette_Group_ModernMajoretteGroup_Junior[FINAL SCORE],"&gt;"&amp;Majorette_Group_ModernMajoretteGroup_Junior[[#This Row],[FINAL SCORE]])+1</calculatedColumnFormula>
    </tableColumn>
    <tableColumn id="39" xr3:uid="{9EDD4A7F-BACD-45F7-B5C8-512BFEEA0DF2}" name="Category Type" dataDxfId="493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C2B2B9C-D376-4088-AA05-D40991B99C14}" name="Majorette_Group_PomponTeam_Junior" displayName="Majorette_Group_PomponTeam_Junior" ref="A1:AJ2" totalsRowShown="0" headerRowDxfId="454" dataDxfId="453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D39D4A4B-29A5-4343-9883-5BB268AE3865}" name="Start No." dataDxfId="490"/>
    <tableColumn id="8" xr3:uid="{CB4E9C2F-5346-4543-8262-1F2F5126B451}" name="Lane" dataDxfId="489"/>
    <tableColumn id="9" xr3:uid="{EEC9BEDB-B949-4307-A6E2-601401C16395}" name="Category" dataDxfId="488"/>
    <tableColumn id="32" xr3:uid="{7DD913FB-7A3E-4202-A12A-FB6481127459}" name="Age_x000a_Division" dataDxfId="487"/>
    <tableColumn id="40" xr3:uid="{D6DE5968-5F73-4EC7-A9AC-ECABCC49111F}" name="Level" dataDxfId="486"/>
    <tableColumn id="4" xr3:uid="{B05EA781-CFD5-435E-B51E-C062C36C6D28}" name="Athlete" dataDxfId="485"/>
    <tableColumn id="38" xr3:uid="{FAFDDD4C-840D-4C79-98C8-592C6356EC22}" name="Club" dataDxfId="484"/>
    <tableColumn id="37" xr3:uid="{5A0F6C17-FB89-43E1-8549-3585AFEB49BD}" name="Country" dataDxfId="483"/>
    <tableColumn id="15" xr3:uid="{A040B098-62BA-4B28-8E46-A96223AAA3B4}" name="Judge 1_x000a_Tamara Beljak" dataDxfId="482"/>
    <tableColumn id="33" xr3:uid="{D5ABAA63-A8F4-4983-AC5D-94832B08A1F7}" name="J1 (-)" dataDxfId="481"/>
    <tableColumn id="26" xr3:uid="{88256B8A-BEE7-4BAC-A098-B87CCA55036C}" name="J1 TOTAL" dataDxfId="480">
      <calculatedColumnFormula>Majorette_Group_PomponTeam_Junior[[#This Row],[Judge 1
Tamara Beljak]]-J2</calculatedColumnFormula>
    </tableColumn>
    <tableColumn id="3" xr3:uid="{22F516C6-B6A4-4075-8147-B44E0A451F1C}" name="J1 (Rank)" dataDxfId="479">
      <calculatedColumnFormula>COUNTIFS(Majorette_Group_PomponTeam_Junior[Age
Division],Majorette_Group_PomponTeam_Junior[[#This Row],[Age
Division]],Majorette_Group_PomponTeam_Junior[Category],Majorette_Group_PomponTeam_Junior[[#This Row],[Category]],Majorette_Group_PomponTeam_Junior[J1 TOTAL],"&gt;"&amp;Majorette_Group_PomponTeam_Junior[[#This Row],[J1 TOTAL]])+1</calculatedColumnFormula>
    </tableColumn>
    <tableColumn id="16" xr3:uid="{33124B32-8C89-4ABB-A928-27E1A586B1AE}" name="Judge 2_x000a_Tihomir Bendelja" dataDxfId="478"/>
    <tableColumn id="34" xr3:uid="{AE8CB099-91E6-4BB1-986C-2C1FC6CDF38F}" name="J2 (-)" dataDxfId="477"/>
    <tableColumn id="28" xr3:uid="{2A4684AC-7331-4AC8-B6AB-472D77543FD1}" name="J2 TOTAL" dataDxfId="476">
      <calculatedColumnFormula>Majorette_Group_PomponTeam_Junior[[#This Row],[Judge 2
Tihomir Bendelja]]-Majorette_Group_PomponTeam_Junior[[#This Row],[J2 (-)]]</calculatedColumnFormula>
    </tableColumn>
    <tableColumn id="5" xr3:uid="{02C9C562-9F90-4C8C-94AB-91275F92B15D}" name="J2 (Rank)" dataDxfId="475">
      <calculatedColumnFormula>COUNTIFS(Majorette_Group_PomponTeam_Junior[Age
Division],Majorette_Group_PomponTeam_Junior[[#This Row],[Age
Division]],Majorette_Group_PomponTeam_Junior[Category],Majorette_Group_PomponTeam_Junior[[#This Row],[Category]],Majorette_Group_PomponTeam_Junior[J2 TOTAL],"&gt;"&amp;Majorette_Group_PomponTeam_Junior[[#This Row],[J2 TOTAL]])+1</calculatedColumnFormula>
    </tableColumn>
    <tableColumn id="17" xr3:uid="{7B45530D-4B57-4EA9-AAE1-7AEC5A0533B5}" name="Judge 3_x000a_Tea Softić" dataDxfId="474"/>
    <tableColumn id="35" xr3:uid="{EB3DC776-4AFC-447A-B6C3-B6504D8EAB86}" name="J3 (-)" dataDxfId="473"/>
    <tableColumn id="30" xr3:uid="{C51BFE45-3747-49D3-AB19-8A3ECFD86C3B}" name="J3 TOTAL" dataDxfId="472">
      <calculatedColumnFormula>Majorette_Group_PomponTeam_Junior[[#This Row],[Judge 3
Tea Softić]]-R2</calculatedColumnFormula>
    </tableColumn>
    <tableColumn id="6" xr3:uid="{33086549-1B20-49FB-AC5D-0E69376E9BFF}" name="J3 (Rank)" dataDxfId="471">
      <calculatedColumnFormula>COUNTIFS(Majorette_Group_PomponTeam_Junior[Age
Division],Majorette_Group_PomponTeam_Junior[[#This Row],[Age
Division]],Majorette_Group_PomponTeam_Junior[Category],Majorette_Group_PomponTeam_Junior[[#This Row],[Category]],Majorette_Group_PomponTeam_Junior[J3 TOTAL],"&gt;"&amp;Majorette_Group_PomponTeam_Junior[[#This Row],[J3 TOTAL]])+1</calculatedColumnFormula>
    </tableColumn>
    <tableColumn id="18" xr3:uid="{C2CA71A7-2CF1-43F2-BD94-4A2AF84E77EF}" name="Judge 4_x000a_Bernard Barač" dataDxfId="470"/>
    <tableColumn id="36" xr3:uid="{A9CE3C45-8607-40B7-B45E-A5C0515F80AE}" name="J4 (-)" dataDxfId="469"/>
    <tableColumn id="31" xr3:uid="{0565507C-38B5-4DD7-A3C4-BEE7DC9E2672}" name="J4 TOTAL" dataDxfId="468">
      <calculatedColumnFormula>Majorette_Group_PomponTeam_Junior[[#This Row],[Judge 4
Bernard Barač]]-V2</calculatedColumnFormula>
    </tableColumn>
    <tableColumn id="7" xr3:uid="{5B11B800-4F7D-4300-8B8C-96E3DFDA94AA}" name="J4 (Rank)" dataDxfId="467">
      <calculatedColumnFormula>COUNTIFS(Majorette_Group_PomponTeam_Junior[Age
Division],Majorette_Group_PomponTeam_Junior[[#This Row],[Age
Division]],Majorette_Group_PomponTeam_Junior[Category],Majorette_Group_PomponTeam_Junior[[#This Row],[Category]],Majorette_Group_PomponTeam_Junior[J4 TOTAL],"&gt;"&amp;Majorette_Group_PomponTeam_Junior[[#This Row],[J4 TOTAL]])+1</calculatedColumnFormula>
    </tableColumn>
    <tableColumn id="12" xr3:uid="{BACBB6DC-BDC2-44D6-A919-8CF086ADC6A7}" name="Judge 5_x000a_Barbara Novina" dataDxfId="466"/>
    <tableColumn id="11" xr3:uid="{41C6755A-07A3-4C94-A743-9EE27AE4BBFD}" name="J5 (-)" dataDxfId="465"/>
    <tableColumn id="10" xr3:uid="{2B1EBCCE-A3BC-455F-963F-C7F595512AF8}" name="J5 TOTAL" dataDxfId="464">
      <calculatedColumnFormula>Majorette_Group_PomponTeam_Junior[[#This Row],[Judge 5
Barbara Novina]]-Z2</calculatedColumnFormula>
    </tableColumn>
    <tableColumn id="2" xr3:uid="{A304A313-2340-4502-91E3-C50CBC19B557}" name="J5 (Rank)" dataDxfId="463">
      <calculatedColumnFormula>COUNTIFS(Majorette_Group_PomponTeam_Junior[Age
Division],Majorette_Group_PomponTeam_Junior[[#This Row],[Age
Division]],Majorette_Group_PomponTeam_Junior[Category],Majorette_Group_PomponTeam_Junior[[#This Row],[Category]],Majorette_Group_PomponTeam_Junior[J5 TOTAL],"&gt;"&amp;Majorette_Group_PomponTeam_Junior[[#This Row],[J5 TOTAL]])+1</calculatedColumnFormula>
    </tableColumn>
    <tableColumn id="20" xr3:uid="{2B86C33F-2282-435C-8F32-F88FC9C0D3FB}" name="Total" dataDxfId="462">
      <calculatedColumnFormula>SUM(Majorette_Group_PomponTeam_Junior[[#This Row],[J1 TOTAL]]+Majorette_Group_PomponTeam_Junior[[#This Row],[J2 TOTAL]]+Majorette_Group_PomponTeam_Junior[[#This Row],[J3 TOTAL]]+Majorette_Group_PomponTeam_Junior[[#This Row],[J4 TOTAL]])+Majorette_Group_PomponTeam_Junior[[#This Row],[J5 TOTAL]]</calculatedColumnFormula>
    </tableColumn>
    <tableColumn id="23" xr3:uid="{2C458599-3C88-4014-B776-33DD3FB021B4}" name="Low" dataDxfId="461">
      <calculatedColumnFormula>MIN(Majorette_Group_PomponTeam_Junior[[#This Row],[J1 TOTAL]],Majorette_Group_PomponTeam_Junior[[#This Row],[J2 TOTAL]],Majorette_Group_PomponTeam_Junior[[#This Row],[J3 TOTAL]],Majorette_Group_PomponTeam_Junior[[#This Row],[J4 TOTAL]],Majorette_Group_PomponTeam_Junior[[#This Row],[J5 TOTAL]])</calculatedColumnFormula>
    </tableColumn>
    <tableColumn id="19" xr3:uid="{AB160A67-D8F2-4385-B4DA-7B249A6F0851}" name="High" dataDxfId="460">
      <calculatedColumnFormula>MAX(Majorette_Group_PomponTeam_Junior[[#This Row],[J1 TOTAL]],Majorette_Group_PomponTeam_Junior[[#This Row],[J2 TOTAL]],Majorette_Group_PomponTeam_Junior[[#This Row],[J3 TOTAL]],Majorette_Group_PomponTeam_Junior[[#This Row],[J4 TOTAL]],Majorette_Group_PomponTeam_Junior[[#This Row],[J5 TOTAL]],)</calculatedColumnFormula>
    </tableColumn>
    <tableColumn id="25" xr3:uid="{7BD5477A-8F73-4E40-BF05-A0B1DB89EA62}" name="Final Total" dataDxfId="459">
      <calculatedColumnFormula>SUM(Majorette_Group_PomponTeam_Junior[[#This Row],[Total]]-Majorette_Group_PomponTeam_Junior[[#This Row],[Low]]-Majorette_Group_PomponTeam_Junior[[#This Row],[High]])</calculatedColumnFormula>
    </tableColumn>
    <tableColumn id="24" xr3:uid="{94C8BBFC-7B4E-4E1A-88FA-AB5A61B203AB}" name="Avg" dataDxfId="458">
      <calculatedColumnFormula>AVERAGE(I2,M2,Q2,U2,Y2)</calculatedColumnFormula>
    </tableColumn>
    <tableColumn id="22" xr3:uid="{D556CE0E-E914-4DCE-BB33-F11F86E3A401}" name="FINAL SCORE" dataDxfId="457">
      <calculatedColumnFormula>Majorette_Group_PomponTeam_Junior[[#This Row],[Final Total]]</calculatedColumnFormula>
    </tableColumn>
    <tableColumn id="27" xr3:uid="{523A7342-1E2B-49A0-958B-CA5D17DAAD56}" name="Rank" dataDxfId="456">
      <calculatedColumnFormula>COUNTIFS(Majorette_Group_PomponTeam_Junior[Age
Division],Majorette_Group_PomponTeam_Junior[[#This Row],[Age
Division]],Majorette_Group_PomponTeam_Junior[Category],Majorette_Group_PomponTeam_Junior[[#This Row],[Category]],Majorette_Group_PomponTeam_Junior[FINAL SCORE],"&gt;"&amp;Majorette_Group_PomponTeam_Junior[[#This Row],[FINAL SCORE]])+1</calculatedColumnFormula>
    </tableColumn>
    <tableColumn id="39" xr3:uid="{85FF43D7-252D-4F61-9F16-4DC603B6F4B6}" name="Category Type" dataDxfId="455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A76A633-B3F7-47E9-8B54-2F5EFC573F20}" name="Majorette_Group_GroupMix_Cadet" displayName="Majorette_Group_GroupMix_Cadet" ref="A1:AJ2" totalsRowShown="0" headerRowDxfId="416" dataDxfId="415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DC7360F8-F54F-4398-BE40-A59606249F73}" name="Start No." dataDxfId="452"/>
    <tableColumn id="8" xr3:uid="{2F64A19F-1F27-4F83-98CB-3FDABB8087C1}" name="Lane" dataDxfId="451"/>
    <tableColumn id="9" xr3:uid="{85594269-DF23-4DC8-8471-E897C6AB068D}" name="Category" dataDxfId="450"/>
    <tableColumn id="32" xr3:uid="{DD95E652-A047-47B3-99EE-821F9912EBE2}" name="Age_x000a_Division" dataDxfId="449"/>
    <tableColumn id="40" xr3:uid="{29165DD9-7873-421F-8C00-32EADCDB9888}" name="Level" dataDxfId="448"/>
    <tableColumn id="4" xr3:uid="{447CDDE3-F7ED-4019-898F-0D03B77FD8CB}" name="Athlete" dataDxfId="447"/>
    <tableColumn id="38" xr3:uid="{4898C36C-2722-43AF-B679-9E55EEA99418}" name="Club" dataDxfId="446"/>
    <tableColumn id="37" xr3:uid="{AACF58A4-A341-447A-9C3B-2E7B07EA8A3F}" name="Country" dataDxfId="445"/>
    <tableColumn id="15" xr3:uid="{53EA0C1A-27FE-4A02-819B-B9FE6B557554}" name="Judge 1_x000a_Tamara Beljak" dataDxfId="444"/>
    <tableColumn id="33" xr3:uid="{9E231F03-A23D-42BE-A6E2-6F8C9C4E8143}" name="J1 (-)" dataDxfId="443"/>
    <tableColumn id="26" xr3:uid="{C419EE14-C2CB-4116-B702-DE362F8AAF1E}" name="J1 TOTAL" dataDxfId="442">
      <calculatedColumnFormula>Majorette_Group_GroupMix_Cadet[[#This Row],[Judge 1
Tamara Beljak]]-J2</calculatedColumnFormula>
    </tableColumn>
    <tableColumn id="3" xr3:uid="{8EEFE940-08CB-49E1-933A-F07AB1334D55}" name="J1 (Rank)" dataDxfId="441">
      <calculatedColumnFormula>COUNTIFS(Majorette_Group_GroupMix_Cadet[Age
Division],Majorette_Group_GroupMix_Cadet[[#This Row],[Age
Division]],Majorette_Group_GroupMix_Cadet[Category],Majorette_Group_GroupMix_Cadet[[#This Row],[Category]],Majorette_Group_GroupMix_Cadet[J1 TOTAL],"&gt;"&amp;Majorette_Group_GroupMix_Cadet[[#This Row],[J1 TOTAL]])+1</calculatedColumnFormula>
    </tableColumn>
    <tableColumn id="16" xr3:uid="{F8143CF5-4DF1-4250-BB37-3CAB05277544}" name="Judge 2_x000a_Tihomir Bendelja" dataDxfId="440"/>
    <tableColumn id="34" xr3:uid="{4328518A-6B13-4AB5-92F2-13944161806B}" name="J2 (-)" dataDxfId="439"/>
    <tableColumn id="28" xr3:uid="{A3877C1D-4435-4C8F-B567-AD8CD168E481}" name="J2 TOTAL" dataDxfId="438">
      <calculatedColumnFormula>Majorette_Group_GroupMix_Cadet[[#This Row],[Judge 2
Tihomir Bendelja]]-Majorette_Group_GroupMix_Cadet[[#This Row],[J2 (-)]]</calculatedColumnFormula>
    </tableColumn>
    <tableColumn id="5" xr3:uid="{29A7D4E8-B790-415C-9C16-54AA3B7E6B67}" name="J2 (Rank)" dataDxfId="437">
      <calculatedColumnFormula>COUNTIFS(Majorette_Group_GroupMix_Cadet[Age
Division],Majorette_Group_GroupMix_Cadet[[#This Row],[Age
Division]],Majorette_Group_GroupMix_Cadet[Category],Majorette_Group_GroupMix_Cadet[[#This Row],[Category]],Majorette_Group_GroupMix_Cadet[J2 TOTAL],"&gt;"&amp;Majorette_Group_GroupMix_Cadet[[#This Row],[J2 TOTAL]])+1</calculatedColumnFormula>
    </tableColumn>
    <tableColumn id="17" xr3:uid="{65EA0ACC-7650-4BEE-AD9A-8D0107E75622}" name="Judge 3_x000a_Tea Softić" dataDxfId="436"/>
    <tableColumn id="35" xr3:uid="{7622556C-D3CB-445A-99A9-F5165B01EDD9}" name="J3 (-)" dataDxfId="435"/>
    <tableColumn id="30" xr3:uid="{AD981523-D11C-4EC1-BB1C-736DE83AEEC9}" name="J3 TOTAL" dataDxfId="434">
      <calculatedColumnFormula>Majorette_Group_GroupMix_Cadet[[#This Row],[Judge 3
Tea Softić]]-R2</calculatedColumnFormula>
    </tableColumn>
    <tableColumn id="6" xr3:uid="{858D4E8E-55C0-47ED-B26C-6FF8636B5E99}" name="J3 (Rank)" dataDxfId="433">
      <calculatedColumnFormula>COUNTIFS(Majorette_Group_GroupMix_Cadet[Age
Division],Majorette_Group_GroupMix_Cadet[[#This Row],[Age
Division]],Majorette_Group_GroupMix_Cadet[Category],Majorette_Group_GroupMix_Cadet[[#This Row],[Category]],Majorette_Group_GroupMix_Cadet[J3 TOTAL],"&gt;"&amp;Majorette_Group_GroupMix_Cadet[[#This Row],[J3 TOTAL]])+1</calculatedColumnFormula>
    </tableColumn>
    <tableColumn id="18" xr3:uid="{C9E1682A-EB98-4EA8-916E-0A0CED6CF166}" name="Judge 4_x000a_Bernard Barač" dataDxfId="432"/>
    <tableColumn id="36" xr3:uid="{B23564DE-B976-4BD7-A967-D63E70B465ED}" name="J4 (-)" dataDxfId="431"/>
    <tableColumn id="31" xr3:uid="{24DC3B77-08B2-443B-85B4-929CF7B2C297}" name="J4 TOTAL" dataDxfId="430">
      <calculatedColumnFormula>Majorette_Group_GroupMix_Cadet[[#This Row],[Judge 4
Bernard Barač]]-V2</calculatedColumnFormula>
    </tableColumn>
    <tableColumn id="7" xr3:uid="{045D9D12-0382-4B78-B2C2-E992C261FDF7}" name="J4 (Rank)" dataDxfId="429">
      <calculatedColumnFormula>COUNTIFS(Majorette_Group_GroupMix_Cadet[Age
Division],Majorette_Group_GroupMix_Cadet[[#This Row],[Age
Division]],Majorette_Group_GroupMix_Cadet[Category],Majorette_Group_GroupMix_Cadet[[#This Row],[Category]],Majorette_Group_GroupMix_Cadet[J4 TOTAL],"&gt;"&amp;Majorette_Group_GroupMix_Cadet[[#This Row],[J4 TOTAL]])+1</calculatedColumnFormula>
    </tableColumn>
    <tableColumn id="12" xr3:uid="{FBF7A89D-842B-48CA-86DC-B1942740A2B3}" name="Judge 5_x000a_Barbara Novina" dataDxfId="428"/>
    <tableColumn id="11" xr3:uid="{84ABE61E-B8E2-46F4-A7D5-6FB4FAB313BE}" name="J5 (-)" dataDxfId="427"/>
    <tableColumn id="10" xr3:uid="{DB2EC662-D792-46E2-865B-1B2F54DF8B4D}" name="J5 TOTAL" dataDxfId="426">
      <calculatedColumnFormula>Majorette_Group_GroupMix_Cadet[[#This Row],[Judge 5
Barbara Novina]]-Z2</calculatedColumnFormula>
    </tableColumn>
    <tableColumn id="2" xr3:uid="{B2382C92-0741-4BFC-95AC-B74DF56DA1C5}" name="J5 (Rank)" dataDxfId="425">
      <calculatedColumnFormula>COUNTIFS(Majorette_Group_GroupMix_Cadet[Age
Division],Majorette_Group_GroupMix_Cadet[[#This Row],[Age
Division]],Majorette_Group_GroupMix_Cadet[Category],Majorette_Group_GroupMix_Cadet[[#This Row],[Category]],Majorette_Group_GroupMix_Cadet[J5 TOTAL],"&gt;"&amp;Majorette_Group_GroupMix_Cadet[[#This Row],[J5 TOTAL]])+1</calculatedColumnFormula>
    </tableColumn>
    <tableColumn id="20" xr3:uid="{F18AF7AD-778F-4A38-A569-E415C219AFD6}" name="Total" dataDxfId="424">
      <calculatedColumnFormula>SUM(Majorette_Group_GroupMix_Cadet[[#This Row],[J1 TOTAL]]+Majorette_Group_GroupMix_Cadet[[#This Row],[J2 TOTAL]]+Majorette_Group_GroupMix_Cadet[[#This Row],[J3 TOTAL]]+Majorette_Group_GroupMix_Cadet[[#This Row],[J4 TOTAL]])+Majorette_Group_GroupMix_Cadet[[#This Row],[J5 TOTAL]]</calculatedColumnFormula>
    </tableColumn>
    <tableColumn id="23" xr3:uid="{84738A31-392E-4576-AFCB-422E03952CCD}" name="Low" dataDxfId="423">
      <calculatedColumnFormula>MIN(Majorette_Group_GroupMix_Cadet[[#This Row],[J1 TOTAL]],Majorette_Group_GroupMix_Cadet[[#This Row],[J2 TOTAL]],Majorette_Group_GroupMix_Cadet[[#This Row],[J3 TOTAL]],Majorette_Group_GroupMix_Cadet[[#This Row],[J4 TOTAL]])</calculatedColumnFormula>
    </tableColumn>
    <tableColumn id="19" xr3:uid="{A139BB4C-41F6-4B30-94AA-FD0FC8A93E37}" name="High" dataDxfId="422">
      <calculatedColumnFormula>MAX(Majorette_Group_GroupMix_Cadet[[#This Row],[J1 TOTAL]],Majorette_Group_GroupMix_Cadet[[#This Row],[J2 TOTAL]],Majorette_Group_GroupMix_Cadet[[#This Row],[J3 TOTAL]],Majorette_Group_GroupMix_Cadet[[#This Row],[J4 TOTAL]],Majorette_Group_GroupMix_Cadet[[#This Row],[J5 TOTAL]],)</calculatedColumnFormula>
    </tableColumn>
    <tableColumn id="25" xr3:uid="{236E71AD-E3F1-4302-A8EF-BDA67A77CD2D}" name="Final Total" dataDxfId="421">
      <calculatedColumnFormula>SUM(Majorette_Group_GroupMix_Cadet[[#This Row],[Total]]-Majorette_Group_GroupMix_Cadet[[#This Row],[Low]]-Majorette_Group_GroupMix_Cadet[[#This Row],[High]])</calculatedColumnFormula>
    </tableColumn>
    <tableColumn id="24" xr3:uid="{BEDC9950-D8C0-4A87-8AC3-6C0182F77C52}" name="Avg" dataDxfId="420">
      <calculatedColumnFormula>AVERAGE(I2,M2,Q2,U2,Y2)</calculatedColumnFormula>
    </tableColumn>
    <tableColumn id="22" xr3:uid="{BD26F364-0C72-4DDD-8F50-8AA189AA3F9B}" name="FINAL SCORE" dataDxfId="419">
      <calculatedColumnFormula>Majorette_Group_GroupMix_Cadet[[#This Row],[Final Total]]</calculatedColumnFormula>
    </tableColumn>
    <tableColumn id="27" xr3:uid="{AC490285-03A5-4DAD-9F0C-C556796F2A9B}" name="Rank" dataDxfId="418">
      <calculatedColumnFormula>COUNTIFS(Majorette_Group_GroupMix_Cadet[Age
Division],Majorette_Group_GroupMix_Cadet[[#This Row],[Age
Division]],Majorette_Group_GroupMix_Cadet[Category],Majorette_Group_GroupMix_Cadet[[#This Row],[Category]],Majorette_Group_GroupMix_Cadet[FINAL SCORE],"&gt;"&amp;Majorette_Group_GroupMix_Cadet[[#This Row],[FINAL SCORE]])+1</calculatedColumnFormula>
    </tableColumn>
    <tableColumn id="39" xr3:uid="{29EB3063-6BCA-4A7B-8E93-C1C1027D59F7}" name="Category Type" dataDxfId="417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874D510-EBF5-4F22-BF68-EBE0725B1874}" name="Majorette_Group_PomponGroup_Mini" displayName="Majorette_Group_PomponGroup_Mini" ref="A1:AJ2" totalsRowShown="0" headerRowDxfId="378" dataDxfId="377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9F12F6C7-E59A-43D6-A9E3-06B1BE4AE2F6}" name="Start No." dataDxfId="414"/>
    <tableColumn id="8" xr3:uid="{B8291A3D-5079-4840-B2CD-9E4779D785D8}" name="Lane" dataDxfId="413"/>
    <tableColumn id="9" xr3:uid="{FCF69E32-CDEE-44BD-A7B3-9148824B9BDD}" name="Category" dataDxfId="412"/>
    <tableColumn id="32" xr3:uid="{74C3B82E-3509-46E7-9A1A-4AAB81D16633}" name="Age_x000a_Division" dataDxfId="411"/>
    <tableColumn id="40" xr3:uid="{E36B7EBC-F563-4288-88AF-01315A8F3D5C}" name="Level" dataDxfId="410"/>
    <tableColumn id="4" xr3:uid="{68F17043-D865-4F36-895A-E9044165ED9C}" name="Athlete" dataDxfId="409"/>
    <tableColumn id="38" xr3:uid="{29DBA5C0-9D2C-4F0B-B91D-CF94326524AD}" name="Club" dataDxfId="408"/>
    <tableColumn id="37" xr3:uid="{3E3E4B53-4E59-4CAA-A3F2-10255B23398E}" name="Country" dataDxfId="407"/>
    <tableColumn id="15" xr3:uid="{A4F64AB2-A5B6-4277-9BDA-996EAED72467}" name="Judge 1_x000a_Tamara Beljak" dataDxfId="406"/>
    <tableColumn id="33" xr3:uid="{7AAD8142-D6C1-4875-BD40-B3C581681A45}" name="J1 (-)" dataDxfId="405"/>
    <tableColumn id="26" xr3:uid="{7D0581E8-971D-43F0-9046-2942B6245453}" name="J1 TOTAL" dataDxfId="404">
      <calculatedColumnFormula>Majorette_Group_PomponGroup_Mini[[#This Row],[Judge 1
Tamara Beljak]]-J2</calculatedColumnFormula>
    </tableColumn>
    <tableColumn id="3" xr3:uid="{F32F2D4F-0441-45BE-9E48-E547ECCE493C}" name="J1 (Rank)" dataDxfId="403">
      <calculatedColumnFormula>COUNTIFS(Majorette_Group_PomponGroup_Mini[Age
Division],Majorette_Group_PomponGroup_Mini[[#This Row],[Age
Division]],Majorette_Group_PomponGroup_Mini[Category],Majorette_Group_PomponGroup_Mini[[#This Row],[Category]],Majorette_Group_PomponGroup_Mini[J1 TOTAL],"&gt;"&amp;Majorette_Group_PomponGroup_Mini[[#This Row],[J1 TOTAL]])+1</calculatedColumnFormula>
    </tableColumn>
    <tableColumn id="16" xr3:uid="{DCF23540-3662-4BEA-839A-C1CA01F59842}" name="Judge 2_x000a_Tihomir Bendelja" dataDxfId="402"/>
    <tableColumn id="34" xr3:uid="{01210A4F-9EDE-4C1F-B022-76BB89D1AAB8}" name="J2 (-)" dataDxfId="401"/>
    <tableColumn id="28" xr3:uid="{45F216BD-B066-4722-BC8E-C0412C13537C}" name="J2 TOTAL" dataDxfId="400">
      <calculatedColumnFormula>Majorette_Group_PomponGroup_Mini[[#This Row],[Judge 2
Tihomir Bendelja]]-Majorette_Group_PomponGroup_Mini[[#This Row],[J2 (-)]]</calculatedColumnFormula>
    </tableColumn>
    <tableColumn id="5" xr3:uid="{CC3B8042-9D75-48B2-81C9-28277A82BE61}" name="J2 (Rank)" dataDxfId="399">
      <calculatedColumnFormula>COUNTIFS(Majorette_Group_PomponGroup_Mini[Age
Division],Majorette_Group_PomponGroup_Mini[[#This Row],[Age
Division]],Majorette_Group_PomponGroup_Mini[Category],Majorette_Group_PomponGroup_Mini[[#This Row],[Category]],Majorette_Group_PomponGroup_Mini[J2 TOTAL],"&gt;"&amp;Majorette_Group_PomponGroup_Mini[[#This Row],[J2 TOTAL]])+1</calculatedColumnFormula>
    </tableColumn>
    <tableColumn id="17" xr3:uid="{8654CE85-B13F-4770-A8EF-18C10474212F}" name="Judge 3_x000a_Tea Softić" dataDxfId="398"/>
    <tableColumn id="35" xr3:uid="{D1416182-C901-4C86-B781-0C0630A898F7}" name="J3 (-)" dataDxfId="397"/>
    <tableColumn id="30" xr3:uid="{67B11843-9E73-4C0F-A589-B0794570FCE5}" name="J3 TOTAL" dataDxfId="396">
      <calculatedColumnFormula>Majorette_Group_PomponGroup_Mini[[#This Row],[Judge 3
Tea Softić]]-R2</calculatedColumnFormula>
    </tableColumn>
    <tableColumn id="6" xr3:uid="{2BF4E7E9-55C5-476F-8650-A97D6F45E9CA}" name="J3 (Rank)" dataDxfId="395">
      <calculatedColumnFormula>COUNTIFS(Majorette_Group_PomponGroup_Mini[Age
Division],Majorette_Group_PomponGroup_Mini[[#This Row],[Age
Division]],Majorette_Group_PomponGroup_Mini[Category],Majorette_Group_PomponGroup_Mini[[#This Row],[Category]],Majorette_Group_PomponGroup_Mini[J3 TOTAL],"&gt;"&amp;Majorette_Group_PomponGroup_Mini[[#This Row],[J3 TOTAL]])+1</calculatedColumnFormula>
    </tableColumn>
    <tableColumn id="18" xr3:uid="{A6A3A663-2B85-4F1E-BF31-BDF6835E0EFF}" name="Judge 4_x000a_Bernard Barač" dataDxfId="394"/>
    <tableColumn id="36" xr3:uid="{CC44E62D-D8D4-4355-9F3A-96CB60AFB9DF}" name="J4 (-)" dataDxfId="393"/>
    <tableColumn id="31" xr3:uid="{4BF43AC0-0E90-4EE2-8C92-DF4EFBB99941}" name="J4 TOTAL" dataDxfId="392">
      <calculatedColumnFormula>Majorette_Group_PomponGroup_Mini[[#This Row],[Judge 4
Bernard Barač]]-V2</calculatedColumnFormula>
    </tableColumn>
    <tableColumn id="7" xr3:uid="{C4A0AF8F-74C3-4D17-8D7E-28A09727A365}" name="J4 (Rank)" dataDxfId="391">
      <calculatedColumnFormula>COUNTIFS(Majorette_Group_PomponGroup_Mini[Age
Division],Majorette_Group_PomponGroup_Mini[[#This Row],[Age
Division]],Majorette_Group_PomponGroup_Mini[Category],Majorette_Group_PomponGroup_Mini[[#This Row],[Category]],Majorette_Group_PomponGroup_Mini[J4 TOTAL],"&gt;"&amp;Majorette_Group_PomponGroup_Mini[[#This Row],[J4 TOTAL]])+1</calculatedColumnFormula>
    </tableColumn>
    <tableColumn id="12" xr3:uid="{93CAC416-3A8C-4F13-A3B0-9071CE0AF101}" name="Judge 5_x000a_Barbara Novina" dataDxfId="390"/>
    <tableColumn id="11" xr3:uid="{029699F8-4214-400D-8F8E-1A44B5EEE681}" name="J5 (-)" dataDxfId="389"/>
    <tableColumn id="10" xr3:uid="{41ECF052-DFE4-441A-8597-65BD864BE80A}" name="J5 TOTAL" dataDxfId="388">
      <calculatedColumnFormula>Majorette_Group_PomponGroup_Mini[[#This Row],[Judge 5
Barbara Novina]]-Z2</calculatedColumnFormula>
    </tableColumn>
    <tableColumn id="2" xr3:uid="{68D16B94-52F3-44BA-9DE8-E3358B0046CF}" name="J5 (Rank)" dataDxfId="387">
      <calculatedColumnFormula>COUNTIFS(Majorette_Group_PomponGroup_Mini[Age
Division],Majorette_Group_PomponGroup_Mini[[#This Row],[Age
Division]],Majorette_Group_PomponGroup_Mini[Category],Majorette_Group_PomponGroup_Mini[[#This Row],[Category]],Majorette_Group_PomponGroup_Mini[J5 TOTAL],"&gt;"&amp;Majorette_Group_PomponGroup_Mini[[#This Row],[J5 TOTAL]])+1</calculatedColumnFormula>
    </tableColumn>
    <tableColumn id="20" xr3:uid="{43867A2D-EE4E-4736-B488-53908949EBF0}" name="Total" dataDxfId="386">
      <calculatedColumnFormula>SUM(Majorette_Group_PomponGroup_Mini[[#This Row],[J1 TOTAL]]+Majorette_Group_PomponGroup_Mini[[#This Row],[J2 TOTAL]]+Majorette_Group_PomponGroup_Mini[[#This Row],[J3 TOTAL]]+Majorette_Group_PomponGroup_Mini[[#This Row],[J4 TOTAL]])+Majorette_Group_PomponGroup_Mini[[#This Row],[J5 TOTAL]]</calculatedColumnFormula>
    </tableColumn>
    <tableColumn id="23" xr3:uid="{CE4E7919-6798-4F73-8BF9-C0B0BF13F3E1}" name="Low" dataDxfId="385">
      <calculatedColumnFormula>MIN(Majorette_Group_PomponGroup_Mini[[#This Row],[J1 TOTAL]],Majorette_Group_PomponGroup_Mini[[#This Row],[J2 TOTAL]],Majorette_Group_PomponGroup_Mini[[#This Row],[J3 TOTAL]],Majorette_Group_PomponGroup_Mini[[#This Row],[J4 TOTAL]],Majorette_Group_PomponGroup_Mini[[#This Row],[J5 TOTAL]])</calculatedColumnFormula>
    </tableColumn>
    <tableColumn id="19" xr3:uid="{FE12BF59-FE6D-40B4-9697-620A45913822}" name="High" dataDxfId="384">
      <calculatedColumnFormula>MAX(Majorette_Group_PomponGroup_Mini[[#This Row],[J1 TOTAL]],Majorette_Group_PomponGroup_Mini[[#This Row],[J2 TOTAL]],Majorette_Group_PomponGroup_Mini[[#This Row],[J3 TOTAL]],Majorette_Group_PomponGroup_Mini[[#This Row],[J4 TOTAL]],Majorette_Group_PomponGroup_Mini[[#This Row],[J5 TOTAL]],)</calculatedColumnFormula>
    </tableColumn>
    <tableColumn id="25" xr3:uid="{BE67F20D-20D1-49B8-8F30-45C6F0CF0ED1}" name="Final Total" dataDxfId="383">
      <calculatedColumnFormula>SUM(Majorette_Group_PomponGroup_Mini[[#This Row],[Total]]-Majorette_Group_PomponGroup_Mini[[#This Row],[Low]]-Majorette_Group_PomponGroup_Mini[[#This Row],[High]])</calculatedColumnFormula>
    </tableColumn>
    <tableColumn id="24" xr3:uid="{E06EF18D-203B-4A7A-B694-A40222B1D74D}" name="Avg" dataDxfId="382">
      <calculatedColumnFormula>AVERAGE(I2,M2,Q2,U2,Y2)</calculatedColumnFormula>
    </tableColumn>
    <tableColumn id="22" xr3:uid="{39C1A4B8-B1F2-462E-806D-8AF8E8AC86B0}" name="FINAL SCORE" dataDxfId="381">
      <calculatedColumnFormula>Majorette_Group_PomponGroup_Mini[[#This Row],[Final Total]]</calculatedColumnFormula>
    </tableColumn>
    <tableColumn id="27" xr3:uid="{744453EB-D7CE-4ACB-BB75-B6BF93381DA2}" name="Rank" dataDxfId="380">
      <calculatedColumnFormula>COUNTIFS(Majorette_Group_PomponGroup_Mini[Age
Division],Majorette_Group_PomponGroup_Mini[[#This Row],[Age
Division]],Majorette_Group_PomponGroup_Mini[Category],Majorette_Group_PomponGroup_Mini[[#This Row],[Category]],Majorette_Group_PomponGroup_Mini[FINAL SCORE],"&gt;"&amp;Majorette_Group_PomponGroup_Mini[[#This Row],[FINAL SCORE]])+1</calculatedColumnFormula>
    </tableColumn>
    <tableColumn id="39" xr3:uid="{5C424A5A-DB3D-4C97-A92F-E0FF97ACE9E9}" name="Category Type" dataDxfId="379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E1A3E72-F876-4B45-8D7F-779D0BEF0107}" name="Majorette_Group_PomponGroup_Children" displayName="Majorette_Group_PomponGroup_Children" ref="A1:AJ4" totalsRowShown="0" headerRowDxfId="340" dataDxfId="339">
  <autoFilter ref="A1:AJ4" xr:uid="{042C9DAD-4CB0-4D2A-8C87-3D9863992DF4}"/>
  <sortState xmlns:xlrd2="http://schemas.microsoft.com/office/spreadsheetml/2017/richdata2" ref="A2:AJ4">
    <sortCondition ref="AI1:AI4"/>
  </sortState>
  <tableColumns count="36">
    <tableColumn id="1" xr3:uid="{BFDF9DD6-B91F-4E0C-919B-0824734D8A4C}" name="Start No." dataDxfId="376"/>
    <tableColumn id="8" xr3:uid="{E802ED93-6E53-4B18-8FBD-68E9D6DDE0B3}" name="Lane" dataDxfId="375"/>
    <tableColumn id="9" xr3:uid="{5DEA847F-3636-4CDC-9A49-69BDC9878F7E}" name="Category" dataDxfId="374"/>
    <tableColumn id="32" xr3:uid="{5CBFE15B-466C-47DE-8378-5DCD2F68A787}" name="Age_x000a_Division" dataDxfId="373"/>
    <tableColumn id="40" xr3:uid="{F12EC7C6-8210-40AB-B3E6-A3C82D4403D3}" name="Level" dataDxfId="372"/>
    <tableColumn id="4" xr3:uid="{1F0531DA-0AF7-4857-9C73-87CB2711F59C}" name="Athlete" dataDxfId="371"/>
    <tableColumn id="38" xr3:uid="{AA7FAACE-7CC1-4F53-8C12-4A8A2B537B22}" name="Club" dataDxfId="370"/>
    <tableColumn id="37" xr3:uid="{A570B039-1211-4AB5-ABDC-8217A6BCDB92}" name="Country" dataDxfId="369"/>
    <tableColumn id="15" xr3:uid="{55D3F97C-9DE0-441B-9420-AC28E7CFBF06}" name="Judge 1_x000a_Tamara Beljak" dataDxfId="368"/>
    <tableColumn id="33" xr3:uid="{BCB3FDC1-77DB-4DAF-8FBB-0A220E5D5665}" name="J1 (-)" dataDxfId="367"/>
    <tableColumn id="26" xr3:uid="{05C7936C-0A6B-4317-B6BA-CB582C5EAA23}" name="J1 TOTAL" dataDxfId="366">
      <calculatedColumnFormula>Majorette_Group_PomponGroup_Children[[#This Row],[Judge 1
Tamara Beljak]]-J2</calculatedColumnFormula>
    </tableColumn>
    <tableColumn id="3" xr3:uid="{15510FDF-D648-41CA-8F48-0DF692872EC9}" name="J1 (Rank)" dataDxfId="365">
      <calculatedColumnFormula>COUNTIFS(Majorette_Group_PomponGroup_Children[Age
Division],Majorette_Group_PomponGroup_Children[[#This Row],[Age
Division]],Majorette_Group_PomponGroup_Children[Category],Majorette_Group_PomponGroup_Children[[#This Row],[Category]],Majorette_Group_PomponGroup_Children[J1 TOTAL],"&gt;"&amp;Majorette_Group_PomponGroup_Children[[#This Row],[J1 TOTAL]])+1</calculatedColumnFormula>
    </tableColumn>
    <tableColumn id="16" xr3:uid="{7B535C19-1AE7-45E5-8768-7B4570F203CD}" name="Judge 2_x000a_Tihomir Bendelja" dataDxfId="364"/>
    <tableColumn id="34" xr3:uid="{A75EB906-06FF-4EA3-96AF-CB564C3D91E1}" name="J2 (-)" dataDxfId="363"/>
    <tableColumn id="28" xr3:uid="{D6E415A3-D54E-49CB-AF92-0CF9B082FF85}" name="J2 TOTAL" dataDxfId="362">
      <calculatedColumnFormula>Majorette_Group_PomponGroup_Children[[#This Row],[Judge 2
Tihomir Bendelja]]-Majorette_Group_PomponGroup_Children[[#This Row],[J2 (-)]]</calculatedColumnFormula>
    </tableColumn>
    <tableColumn id="5" xr3:uid="{8107CA5B-A127-4046-9952-7E102C00D155}" name="J2 (Rank)" dataDxfId="361">
      <calculatedColumnFormula>COUNTIFS(Majorette_Group_PomponGroup_Children[Age
Division],Majorette_Group_PomponGroup_Children[[#This Row],[Age
Division]],Majorette_Group_PomponGroup_Children[Category],Majorette_Group_PomponGroup_Children[[#This Row],[Category]],Majorette_Group_PomponGroup_Children[J2 TOTAL],"&gt;"&amp;Majorette_Group_PomponGroup_Children[[#This Row],[J2 TOTAL]])+1</calculatedColumnFormula>
    </tableColumn>
    <tableColumn id="17" xr3:uid="{655A339A-D7F2-4425-AAB3-DA4AAE59573C}" name="Judge 3_x000a_Tea Softić" dataDxfId="360"/>
    <tableColumn id="35" xr3:uid="{6A8BC4BE-FD86-4032-85BF-503E796B65D7}" name="J3 (-)" dataDxfId="359"/>
    <tableColumn id="30" xr3:uid="{266455AC-0D2A-4DB4-86B7-92D5D653F929}" name="J3 TOTAL" dataDxfId="358">
      <calculatedColumnFormula>Majorette_Group_PomponGroup_Children[[#This Row],[Judge 3
Tea Softić]]-R2</calculatedColumnFormula>
    </tableColumn>
    <tableColumn id="6" xr3:uid="{1A55CE45-E79B-415F-84FD-8DDF62C453AA}" name="J3 (Rank)" dataDxfId="357">
      <calculatedColumnFormula>COUNTIFS(Majorette_Group_PomponGroup_Children[Age
Division],Majorette_Group_PomponGroup_Children[[#This Row],[Age
Division]],Majorette_Group_PomponGroup_Children[Category],Majorette_Group_PomponGroup_Children[[#This Row],[Category]],Majorette_Group_PomponGroup_Children[J3 TOTAL],"&gt;"&amp;Majorette_Group_PomponGroup_Children[[#This Row],[J3 TOTAL]])+1</calculatedColumnFormula>
    </tableColumn>
    <tableColumn id="18" xr3:uid="{B3FF76FD-8C3C-4785-A36F-D1EE8B690919}" name="Judge 4_x000a_Bernard Barač" dataDxfId="356"/>
    <tableColumn id="36" xr3:uid="{75089356-7D50-4C97-9807-F3C6A03ACC1B}" name="J4 (-)" dataDxfId="355"/>
    <tableColumn id="31" xr3:uid="{0B48D576-C32E-4AC0-BFD3-4FDAF103A06A}" name="J4 TOTAL" dataDxfId="354">
      <calculatedColumnFormula>Majorette_Group_PomponGroup_Children[[#This Row],[Judge 4
Bernard Barač]]-V2</calculatedColumnFormula>
    </tableColumn>
    <tableColumn id="7" xr3:uid="{60F30563-099E-4ABC-8E63-02424866F976}" name="J4 (Rank)" dataDxfId="353">
      <calculatedColumnFormula>COUNTIFS(Majorette_Group_PomponGroup_Children[Age
Division],Majorette_Group_PomponGroup_Children[[#This Row],[Age
Division]],Majorette_Group_PomponGroup_Children[Category],Majorette_Group_PomponGroup_Children[[#This Row],[Category]],Majorette_Group_PomponGroup_Children[J4 TOTAL],"&gt;"&amp;Majorette_Group_PomponGroup_Children[[#This Row],[J4 TOTAL]])+1</calculatedColumnFormula>
    </tableColumn>
    <tableColumn id="12" xr3:uid="{7ED9BF4E-16A9-4ECC-9F91-B25410EFD3AB}" name="Judge 5_x000a_Barbara Novina" dataDxfId="352"/>
    <tableColumn id="11" xr3:uid="{BEEA2779-ADC6-46DF-AF51-0725BE2DBCBF}" name="J5 (-)" dataDxfId="351"/>
    <tableColumn id="10" xr3:uid="{E23C0551-DA28-45CF-A16B-70008253DF77}" name="J5 TOTAL" dataDxfId="350">
      <calculatedColumnFormula>Majorette_Group_PomponGroup_Children[[#This Row],[Judge 5
Barbara Novina]]-Z2</calculatedColumnFormula>
    </tableColumn>
    <tableColumn id="2" xr3:uid="{7CC0B096-5A3F-4156-8FB9-8337D040456E}" name="J5 (Rank)" dataDxfId="349">
      <calculatedColumnFormula>COUNTIFS(Majorette_Group_PomponGroup_Children[Age
Division],Majorette_Group_PomponGroup_Children[[#This Row],[Age
Division]],Majorette_Group_PomponGroup_Children[Category],Majorette_Group_PomponGroup_Children[[#This Row],[Category]],Majorette_Group_PomponGroup_Children[J5 TOTAL],"&gt;"&amp;Majorette_Group_PomponGroup_Children[[#This Row],[J5 TOTAL]])+1</calculatedColumnFormula>
    </tableColumn>
    <tableColumn id="20" xr3:uid="{E0C755B5-6223-4E0E-9180-F13F0B4B9512}" name="Total" dataDxfId="348">
      <calculatedColumnFormula>SUM(Majorette_Group_PomponGroup_Children[[#This Row],[J1 TOTAL]]+Majorette_Group_PomponGroup_Children[[#This Row],[J2 TOTAL]]+Majorette_Group_PomponGroup_Children[[#This Row],[J3 TOTAL]]+Majorette_Group_PomponGroup_Children[[#This Row],[J4 TOTAL]])+Majorette_Group_PomponGroup_Children[[#This Row],[J5 TOTAL]]</calculatedColumnFormula>
    </tableColumn>
    <tableColumn id="23" xr3:uid="{83D380BB-9551-41EA-8692-8CA5DCB29635}" name="Low" dataDxfId="347">
      <calculatedColumnFormula>MIN(Majorette_Group_PomponGroup_Children[[#This Row],[J1 TOTAL]],Majorette_Group_PomponGroup_Children[[#This Row],[J2 TOTAL]],Majorette_Group_PomponGroup_Children[[#This Row],[J3 TOTAL]],Majorette_Group_PomponGroup_Children[[#This Row],[J4 TOTAL]],Majorette_Group_PomponGroup_Children[[#This Row],[J5 TOTAL]])</calculatedColumnFormula>
    </tableColumn>
    <tableColumn id="19" xr3:uid="{5362E540-4FF4-4389-95BF-28375940C7EA}" name="High" dataDxfId="346">
      <calculatedColumnFormula>MAX(Majorette_Group_PomponGroup_Children[[#This Row],[J1 TOTAL]],Majorette_Group_PomponGroup_Children[[#This Row],[J2 TOTAL]],Majorette_Group_PomponGroup_Children[[#This Row],[J3 TOTAL]],Majorette_Group_PomponGroup_Children[[#This Row],[J4 TOTAL]],Majorette_Group_PomponGroup_Children[[#This Row],[J5 TOTAL]],)</calculatedColumnFormula>
    </tableColumn>
    <tableColumn id="25" xr3:uid="{84C4E7C4-12FB-46D8-A7B3-5C880E0BF06C}" name="Final Total" dataDxfId="345">
      <calculatedColumnFormula>SUM(Majorette_Group_PomponGroup_Children[[#This Row],[Total]]-Majorette_Group_PomponGroup_Children[[#This Row],[Low]]-Majorette_Group_PomponGroup_Children[[#This Row],[High]])</calculatedColumnFormula>
    </tableColumn>
    <tableColumn id="24" xr3:uid="{A0DB5476-7D1D-4BA5-B62F-391B07439B0A}" name="Avg" dataDxfId="344">
      <calculatedColumnFormula>AVERAGE(I2,M2,Q2,U2,Y2)</calculatedColumnFormula>
    </tableColumn>
    <tableColumn id="22" xr3:uid="{A3916381-2A45-4166-93EF-47E3BD364247}" name="FINAL SCORE" dataDxfId="343">
      <calculatedColumnFormula>Majorette_Group_PomponGroup_Children[[#This Row],[Final Total]]</calculatedColumnFormula>
    </tableColumn>
    <tableColumn id="27" xr3:uid="{BA4563F3-522B-43B5-A295-D316AB233818}" name="Rank" dataDxfId="342">
      <calculatedColumnFormula>COUNTIFS(Majorette_Group_PomponGroup_Children[Age
Division],Majorette_Group_PomponGroup_Children[[#This Row],[Age
Division]],Majorette_Group_PomponGroup_Children[Category],Majorette_Group_PomponGroup_Children[[#This Row],[Category]],Majorette_Group_PomponGroup_Children[FINAL SCORE],"&gt;"&amp;Majorette_Group_PomponGroup_Children[[#This Row],[FINAL SCORE]])+1</calculatedColumnFormula>
    </tableColumn>
    <tableColumn id="39" xr3:uid="{1D5FDDE3-6EE4-4B98-8C75-E45590E89D95}" name="Category Type" dataDxfId="341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7BFBA655-C486-4848-8E9A-CB062DE005ED}" name="Majorette_Group_PomponGroup_Cadet" displayName="Majorette_Group_PomponGroup_Cadet" ref="A1:AJ2" totalsRowShown="0" headerRowDxfId="302" dataDxfId="301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18EAA78B-6E6E-4FC9-9ED3-F08FEE23367F}" name="Start No." dataDxfId="338"/>
    <tableColumn id="8" xr3:uid="{72876D84-4ECB-4D36-8358-467BB0038ABB}" name="Lane" dataDxfId="337"/>
    <tableColumn id="9" xr3:uid="{30055BB3-9270-4918-A388-642056E578E9}" name="Category" dataDxfId="336"/>
    <tableColumn id="32" xr3:uid="{8C53127A-96EF-41FA-93AA-EEADFD78E249}" name="Age_x000a_Division" dataDxfId="335"/>
    <tableColumn id="40" xr3:uid="{63C8685A-1680-4AE7-A8EE-4478906DC5CB}" name="Level" dataDxfId="334"/>
    <tableColumn id="4" xr3:uid="{801568C7-634C-4FB9-A186-A40A37803647}" name="Athlete" dataDxfId="333"/>
    <tableColumn id="38" xr3:uid="{C3D1D7ED-AE87-4B4F-BE35-E4A7F1B114F5}" name="Club" dataDxfId="332"/>
    <tableColumn id="37" xr3:uid="{EF0292F4-D43F-44C5-8947-5164B2669A79}" name="Country" dataDxfId="331"/>
    <tableColumn id="15" xr3:uid="{B31B7083-9809-49B4-A74F-391484B500BF}" name="Judge 1_x000a_Tamara Beljak" dataDxfId="330"/>
    <tableColumn id="33" xr3:uid="{C3FC20D0-B7F0-4E88-9C48-7D6DBE3F6D40}" name="J1 (-)" dataDxfId="329"/>
    <tableColumn id="26" xr3:uid="{FC07A46B-9714-4FE0-8341-EF36DF407ECC}" name="J1 TOTAL" dataDxfId="328">
      <calculatedColumnFormula>Majorette_Group_PomponGroup_Cadet[[#This Row],[Judge 1
Tamara Beljak]]-J2</calculatedColumnFormula>
    </tableColumn>
    <tableColumn id="3" xr3:uid="{70BADFC0-259C-4935-9372-3B369D699690}" name="J1 (Rank)" dataDxfId="327">
      <calculatedColumnFormula>COUNTIFS(Majorette_Group_PomponGroup_Cadet[Age
Division],Majorette_Group_PomponGroup_Cadet[[#This Row],[Age
Division]],Majorette_Group_PomponGroup_Cadet[Category],Majorette_Group_PomponGroup_Cadet[[#This Row],[Category]],Majorette_Group_PomponGroup_Cadet[J1 TOTAL],"&gt;"&amp;Majorette_Group_PomponGroup_Cadet[[#This Row],[J1 TOTAL]])+1</calculatedColumnFormula>
    </tableColumn>
    <tableColumn id="16" xr3:uid="{1A643522-43B8-47AE-AD82-CCA6FFB5F353}" name="Judge 2_x000a_Tihomir Bendelja" dataDxfId="326"/>
    <tableColumn id="34" xr3:uid="{55071583-1ECD-4B6B-B40C-A3A7E81AE9CA}" name="J2 (-)" dataDxfId="325"/>
    <tableColumn id="28" xr3:uid="{C3454D6C-120C-48D1-8A98-AF2355FD6AED}" name="J2 TOTAL" dataDxfId="324">
      <calculatedColumnFormula>Majorette_Group_PomponGroup_Cadet[[#This Row],[Judge 2
Tihomir Bendelja]]-Majorette_Group_PomponGroup_Cadet[[#This Row],[J2 (-)]]</calculatedColumnFormula>
    </tableColumn>
    <tableColumn id="5" xr3:uid="{F2C44E30-503E-49B6-B0E1-23925DA9502A}" name="J2 (Rank)" dataDxfId="323">
      <calculatedColumnFormula>COUNTIFS(Majorette_Group_PomponGroup_Cadet[Age
Division],Majorette_Group_PomponGroup_Cadet[[#This Row],[Age
Division]],Majorette_Group_PomponGroup_Cadet[Category],Majorette_Group_PomponGroup_Cadet[[#This Row],[Category]],Majorette_Group_PomponGroup_Cadet[J2 TOTAL],"&gt;"&amp;Majorette_Group_PomponGroup_Cadet[[#This Row],[J2 TOTAL]])+1</calculatedColumnFormula>
    </tableColumn>
    <tableColumn id="17" xr3:uid="{FCD3E8E0-EE5C-4FDD-91C9-1E3EE595A214}" name="Judge 3_x000a_Tea Softić" dataDxfId="322"/>
    <tableColumn id="35" xr3:uid="{3F7C492E-696A-40C9-B844-0B75466F4CE2}" name="J3 (-)" dataDxfId="321"/>
    <tableColumn id="30" xr3:uid="{2EF61DE8-ECA4-49CA-B3EE-06BC37F26334}" name="J3 TOTAL" dataDxfId="320">
      <calculatedColumnFormula>Majorette_Group_PomponGroup_Cadet[[#This Row],[Judge 3
Tea Softić]]-R2</calculatedColumnFormula>
    </tableColumn>
    <tableColumn id="6" xr3:uid="{D237944C-0FEA-49BE-B3A4-8A271105BEFF}" name="J3 (Rank)" dataDxfId="319">
      <calculatedColumnFormula>COUNTIFS(Majorette_Group_PomponGroup_Cadet[Age
Division],Majorette_Group_PomponGroup_Cadet[[#This Row],[Age
Division]],Majorette_Group_PomponGroup_Cadet[Category],Majorette_Group_PomponGroup_Cadet[[#This Row],[Category]],Majorette_Group_PomponGroup_Cadet[J3 TOTAL],"&gt;"&amp;Majorette_Group_PomponGroup_Cadet[[#This Row],[J3 TOTAL]])+1</calculatedColumnFormula>
    </tableColumn>
    <tableColumn id="18" xr3:uid="{B4EDABAA-9B09-4B27-A7B4-C0D1719CD6D9}" name="Judge 4_x000a_Bernard Barač" dataDxfId="318"/>
    <tableColumn id="36" xr3:uid="{494FBD32-53EB-416B-ADC6-C3026182D0EC}" name="J4 (-)" dataDxfId="317"/>
    <tableColumn id="31" xr3:uid="{8AF423B7-C195-444F-AD5B-74A48E386E01}" name="J4 TOTAL" dataDxfId="316">
      <calculatedColumnFormula>Majorette_Group_PomponGroup_Cadet[[#This Row],[Judge 4
Bernard Barač]]-V2</calculatedColumnFormula>
    </tableColumn>
    <tableColumn id="7" xr3:uid="{851FCDFD-EF1E-4D77-8A40-E6CFA9AE11FA}" name="J4 (Rank)" dataDxfId="315">
      <calculatedColumnFormula>COUNTIFS(Majorette_Group_PomponGroup_Cadet[Age
Division],Majorette_Group_PomponGroup_Cadet[[#This Row],[Age
Division]],Majorette_Group_PomponGroup_Cadet[Category],Majorette_Group_PomponGroup_Cadet[[#This Row],[Category]],Majorette_Group_PomponGroup_Cadet[J4 TOTAL],"&gt;"&amp;Majorette_Group_PomponGroup_Cadet[[#This Row],[J4 TOTAL]])+1</calculatedColumnFormula>
    </tableColumn>
    <tableColumn id="12" xr3:uid="{980640BC-BE5D-4447-9332-1BE81CFA1F85}" name="Judge 5_x000a_Barbara Novina" dataDxfId="314"/>
    <tableColumn id="11" xr3:uid="{F689E64D-6336-415C-BB25-ABF9089B81DA}" name="J5 (-)" dataDxfId="313"/>
    <tableColumn id="10" xr3:uid="{1046DCB2-A07D-4FC3-A89C-96553741B7F3}" name="J5 TOTAL" dataDxfId="312">
      <calculatedColumnFormula>Majorette_Group_PomponGroup_Cadet[[#This Row],[Judge 5
Barbara Novina]]-Z2</calculatedColumnFormula>
    </tableColumn>
    <tableColumn id="2" xr3:uid="{39EA63C2-4903-4C3D-98B0-2CAE826F5A36}" name="J5 (Rank)" dataDxfId="311">
      <calculatedColumnFormula>COUNTIFS(Majorette_Group_PomponGroup_Cadet[Age
Division],Majorette_Group_PomponGroup_Cadet[[#This Row],[Age
Division]],Majorette_Group_PomponGroup_Cadet[Category],Majorette_Group_PomponGroup_Cadet[[#This Row],[Category]],Majorette_Group_PomponGroup_Cadet[J5 TOTAL],"&gt;"&amp;Majorette_Group_PomponGroup_Cadet[[#This Row],[J5 TOTAL]])+1</calculatedColumnFormula>
    </tableColumn>
    <tableColumn id="20" xr3:uid="{1E4659F6-5C48-4FE1-9379-316D8E4BF90B}" name="Total" dataDxfId="310">
      <calculatedColumnFormula>SUM(Majorette_Group_PomponGroup_Cadet[[#This Row],[J1 TOTAL]]+Majorette_Group_PomponGroup_Cadet[[#This Row],[J2 TOTAL]]+Majorette_Group_PomponGroup_Cadet[[#This Row],[J3 TOTAL]]+Majorette_Group_PomponGroup_Cadet[[#This Row],[J4 TOTAL]])+Majorette_Group_PomponGroup_Cadet[[#This Row],[J5 TOTAL]]</calculatedColumnFormula>
    </tableColumn>
    <tableColumn id="23" xr3:uid="{94791784-3C8B-4327-92EC-2D58CE493FED}" name="Low" dataDxfId="309">
      <calculatedColumnFormula>MIN(Majorette_Group_PomponGroup_Cadet[[#This Row],[J1 TOTAL]],Majorette_Group_PomponGroup_Cadet[[#This Row],[J2 TOTAL]],Majorette_Group_PomponGroup_Cadet[[#This Row],[J3 TOTAL]],Majorette_Group_PomponGroup_Cadet[[#This Row],[J4 TOTAL]],Majorette_Group_PomponGroup_Cadet[[#This Row],[J5 TOTAL]])</calculatedColumnFormula>
    </tableColumn>
    <tableColumn id="19" xr3:uid="{D5CB5ADA-A3DA-47CF-B413-D2ECC865163F}" name="High" dataDxfId="308">
      <calculatedColumnFormula>MAX(Majorette_Group_PomponGroup_Cadet[[#This Row],[J1 TOTAL]],Majorette_Group_PomponGroup_Cadet[[#This Row],[J2 TOTAL]],Majorette_Group_PomponGroup_Cadet[[#This Row],[J3 TOTAL]],Majorette_Group_PomponGroup_Cadet[[#This Row],[J4 TOTAL]],Majorette_Group_PomponGroup_Cadet[[#This Row],[J5 TOTAL]],)</calculatedColumnFormula>
    </tableColumn>
    <tableColumn id="25" xr3:uid="{1076572F-8152-4A74-BEFF-849860A418AB}" name="Final Total" dataDxfId="307">
      <calculatedColumnFormula>SUM(Majorette_Group_PomponGroup_Cadet[[#This Row],[Total]]-Majorette_Group_PomponGroup_Cadet[[#This Row],[Low]]-Majorette_Group_PomponGroup_Cadet[[#This Row],[High]])</calculatedColumnFormula>
    </tableColumn>
    <tableColumn id="24" xr3:uid="{D6FC3297-D011-4CF1-8694-00F11281FC41}" name="Avg" dataDxfId="306">
      <calculatedColumnFormula>AVERAGE(I2,M2,Q2,U2,Y2)</calculatedColumnFormula>
    </tableColumn>
    <tableColumn id="22" xr3:uid="{D9FFFA71-C68A-4342-85BF-591854504A6B}" name="FINAL SCORE" dataDxfId="305">
      <calculatedColumnFormula>Majorette_Group_PomponGroup_Cadet[[#This Row],[Final Total]]</calculatedColumnFormula>
    </tableColumn>
    <tableColumn id="27" xr3:uid="{1AE90EC6-F39B-4AFD-913F-4FED5FA3DB06}" name="Rank" dataDxfId="304">
      <calculatedColumnFormula>COUNTIFS(Majorette_Group_PomponGroup_Cadet[Age
Division],Majorette_Group_PomponGroup_Cadet[[#This Row],[Age
Division]],Majorette_Group_PomponGroup_Cadet[Category],Majorette_Group_PomponGroup_Cadet[[#This Row],[Category]],Majorette_Group_PomponGroup_Cadet[FINAL SCORE],"&gt;"&amp;Majorette_Group_PomponGroup_Cadet[[#This Row],[FINAL SCORE]])+1</calculatedColumnFormula>
    </tableColumn>
    <tableColumn id="39" xr3:uid="{1640C0A2-393C-429B-A532-AF3BB9A74187}" name="Category Type" dataDxfId="303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E509859C-C071-451B-83B9-070A51CED4D5}" name="Majorette_Group_PomponGroup_Junior" displayName="Majorette_Group_PomponGroup_Junior" ref="A1:AJ2" totalsRowShown="0" headerRowDxfId="264" dataDxfId="263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45E870D9-A28A-4F11-A37B-37E7D6E8AA5B}" name="Start No." dataDxfId="300"/>
    <tableColumn id="8" xr3:uid="{D1273950-262E-4053-B714-2F64159C4DCA}" name="Lane" dataDxfId="299"/>
    <tableColumn id="9" xr3:uid="{5729C223-E17E-4578-A773-F241CC404FF6}" name="Category" dataDxfId="298"/>
    <tableColumn id="32" xr3:uid="{BCF0DD4D-26EC-44C7-B22F-FEC117FA0269}" name="Age_x000a_Division" dataDxfId="297"/>
    <tableColumn id="40" xr3:uid="{FA9C268A-39CA-458D-84C2-A71D5A683372}" name="Level" dataDxfId="296"/>
    <tableColumn id="4" xr3:uid="{64CFED9D-ACB8-4FD3-9E26-D052D2BD84A8}" name="Athlete" dataDxfId="295"/>
    <tableColumn id="38" xr3:uid="{86B5BCE0-F7EE-4B65-B3CB-0F64BE17C6BC}" name="Club" dataDxfId="294"/>
    <tableColumn id="37" xr3:uid="{7239D0DC-DED9-41E4-A1CD-59BA8519F640}" name="Country" dataDxfId="293"/>
    <tableColumn id="15" xr3:uid="{06A06A3E-370B-45B1-8C97-1A296829D380}" name="Judge 1_x000a_Tamara Beljak" dataDxfId="292"/>
    <tableColumn id="33" xr3:uid="{434D4009-6E7C-434E-82D3-833BEFC1C28C}" name="J1 (-)" dataDxfId="291"/>
    <tableColumn id="26" xr3:uid="{AA156EAE-F51E-408C-BCAF-7D00100CC19C}" name="J1 TOTAL" dataDxfId="290">
      <calculatedColumnFormula>Majorette_Group_PomponGroup_Junior[[#This Row],[Judge 1
Tamara Beljak]]-J2</calculatedColumnFormula>
    </tableColumn>
    <tableColumn id="3" xr3:uid="{BC9330A4-C516-475F-98A0-6000104C51E2}" name="J1 (Rank)" dataDxfId="289">
      <calculatedColumnFormula>COUNTIFS(Majorette_Group_PomponGroup_Junior[Age
Division],Majorette_Group_PomponGroup_Junior[[#This Row],[Age
Division]],Majorette_Group_PomponGroup_Junior[Category],Majorette_Group_PomponGroup_Junior[[#This Row],[Category]],Majorette_Group_PomponGroup_Junior[J1 TOTAL],"&gt;"&amp;Majorette_Group_PomponGroup_Junior[[#This Row],[J1 TOTAL]])+1</calculatedColumnFormula>
    </tableColumn>
    <tableColumn id="16" xr3:uid="{F8146827-AC14-45C8-A5C6-5B68D245349F}" name="Judge 2_x000a_Tihomir Bendelja" dataDxfId="288"/>
    <tableColumn id="34" xr3:uid="{7CB808B2-91BD-4B60-A627-6A039094AAD3}" name="J2 (-)" dataDxfId="287"/>
    <tableColumn id="28" xr3:uid="{721EC8BB-437B-4018-9204-5969A814F682}" name="J2 TOTAL" dataDxfId="286">
      <calculatedColumnFormula>Majorette_Group_PomponGroup_Junior[[#This Row],[Judge 2
Tihomir Bendelja]]-Majorette_Group_PomponGroup_Junior[[#This Row],[J2 (-)]]</calculatedColumnFormula>
    </tableColumn>
    <tableColumn id="5" xr3:uid="{E856CAD9-554B-4292-8038-546D21013D00}" name="J2 (Rank)" dataDxfId="285">
      <calculatedColumnFormula>COUNTIFS(Majorette_Group_PomponGroup_Junior[Age
Division],Majorette_Group_PomponGroup_Junior[[#This Row],[Age
Division]],Majorette_Group_PomponGroup_Junior[Category],Majorette_Group_PomponGroup_Junior[[#This Row],[Category]],Majorette_Group_PomponGroup_Junior[J2 TOTAL],"&gt;"&amp;Majorette_Group_PomponGroup_Junior[[#This Row],[J2 TOTAL]])+1</calculatedColumnFormula>
    </tableColumn>
    <tableColumn id="17" xr3:uid="{BA99DAFC-7000-4DC8-9569-C2A5B5694BA1}" name="Judge 3_x000a_Tea Softić" dataDxfId="284"/>
    <tableColumn id="35" xr3:uid="{25BBEC3E-FCB5-43A2-9F88-EBDF3EEA6FD4}" name="J3 (-)" dataDxfId="283"/>
    <tableColumn id="30" xr3:uid="{D2A0F608-A2C6-4472-84C7-943BE1FB2EB0}" name="J3 TOTAL" dataDxfId="282">
      <calculatedColumnFormula>Majorette_Group_PomponGroup_Junior[[#This Row],[Judge 3
Tea Softić]]-R2</calculatedColumnFormula>
    </tableColumn>
    <tableColumn id="6" xr3:uid="{1C3942BC-F496-45A9-98B8-92C031C32246}" name="J3 (Rank)" dataDxfId="281">
      <calculatedColumnFormula>COUNTIFS(Majorette_Group_PomponGroup_Junior[Age
Division],Majorette_Group_PomponGroup_Junior[[#This Row],[Age
Division]],Majorette_Group_PomponGroup_Junior[Category],Majorette_Group_PomponGroup_Junior[[#This Row],[Category]],Majorette_Group_PomponGroup_Junior[J3 TOTAL],"&gt;"&amp;Majorette_Group_PomponGroup_Junior[[#This Row],[J3 TOTAL]])+1</calculatedColumnFormula>
    </tableColumn>
    <tableColumn id="18" xr3:uid="{468554A8-9F84-4F20-ADF6-B6AE60966FA6}" name="Judge 4_x000a_Bernard Barač" dataDxfId="280"/>
    <tableColumn id="36" xr3:uid="{D5FAFF33-C66D-4FB6-9789-82F15D934590}" name="J4 (-)" dataDxfId="279"/>
    <tableColumn id="31" xr3:uid="{76EAC765-624D-4E0A-9AB7-9B39407412E9}" name="J4 TOTAL" dataDxfId="278">
      <calculatedColumnFormula>Majorette_Group_PomponGroup_Junior[[#This Row],[Judge 4
Bernard Barač]]-V2</calculatedColumnFormula>
    </tableColumn>
    <tableColumn id="7" xr3:uid="{E7A0F1CC-B9A5-4C54-B626-D141D815FA6E}" name="J4 (Rank)" dataDxfId="277">
      <calculatedColumnFormula>COUNTIFS(Majorette_Group_PomponGroup_Junior[Age
Division],Majorette_Group_PomponGroup_Junior[[#This Row],[Age
Division]],Majorette_Group_PomponGroup_Junior[Category],Majorette_Group_PomponGroup_Junior[[#This Row],[Category]],Majorette_Group_PomponGroup_Junior[J4 TOTAL],"&gt;"&amp;Majorette_Group_PomponGroup_Junior[[#This Row],[J4 TOTAL]])+1</calculatedColumnFormula>
    </tableColumn>
    <tableColumn id="12" xr3:uid="{E5E20D9C-7623-4DCF-A2AE-BD1C76D0FC17}" name="Judge 5_x000a_Barbara Novina" dataDxfId="276"/>
    <tableColumn id="11" xr3:uid="{BB79E360-7DE7-49F6-8A8E-34567FBCEE9F}" name="J5 (-)" dataDxfId="275"/>
    <tableColumn id="10" xr3:uid="{CCC5203E-B06D-4458-886D-609E1A2F0149}" name="J5 TOTAL" dataDxfId="274">
      <calculatedColumnFormula>Majorette_Group_PomponGroup_Junior[[#This Row],[Judge 5
Barbara Novina]]-Z2</calculatedColumnFormula>
    </tableColumn>
    <tableColumn id="2" xr3:uid="{9184D2EB-C443-4231-9CC4-5D5D7BEEAD6D}" name="J5 (Rank)" dataDxfId="273">
      <calculatedColumnFormula>COUNTIFS(Majorette_Group_PomponGroup_Junior[Age
Division],Majorette_Group_PomponGroup_Junior[[#This Row],[Age
Division]],Majorette_Group_PomponGroup_Junior[Category],Majorette_Group_PomponGroup_Junior[[#This Row],[Category]],Majorette_Group_PomponGroup_Junior[J5 TOTAL],"&gt;"&amp;Majorette_Group_PomponGroup_Junior[[#This Row],[J5 TOTAL]])+1</calculatedColumnFormula>
    </tableColumn>
    <tableColumn id="20" xr3:uid="{CB134522-14F6-45D4-9391-05C41A45DA76}" name="Total" dataDxfId="272">
      <calculatedColumnFormula>SUM(Majorette_Group_PomponGroup_Junior[[#This Row],[J1 TOTAL]]+Majorette_Group_PomponGroup_Junior[[#This Row],[J2 TOTAL]]+Majorette_Group_PomponGroup_Junior[[#This Row],[J3 TOTAL]]+Majorette_Group_PomponGroup_Junior[[#This Row],[J4 TOTAL]])+Majorette_Group_PomponGroup_Junior[[#This Row],[J5 TOTAL]]</calculatedColumnFormula>
    </tableColumn>
    <tableColumn id="23" xr3:uid="{291C23D3-D30A-4794-8ADA-344CA7140843}" name="Low" dataDxfId="271">
      <calculatedColumnFormula>MIN(Majorette_Group_PomponGroup_Junior[[#This Row],[J1 TOTAL]],Majorette_Group_PomponGroup_Junior[[#This Row],[J2 TOTAL]],Majorette_Group_PomponGroup_Junior[[#This Row],[J3 TOTAL]],Majorette_Group_PomponGroup_Junior[[#This Row],[J4 TOTAL]],Majorette_Group_PomponGroup_Junior[[#This Row],[J5 TOTAL]])</calculatedColumnFormula>
    </tableColumn>
    <tableColumn id="19" xr3:uid="{5FE2014A-634E-434C-B721-3867FFEDB666}" name="High" dataDxfId="270">
      <calculatedColumnFormula>MAX(Majorette_Group_PomponGroup_Junior[[#This Row],[J1 TOTAL]],Majorette_Group_PomponGroup_Junior[[#This Row],[J2 TOTAL]],Majorette_Group_PomponGroup_Junior[[#This Row],[J3 TOTAL]],Majorette_Group_PomponGroup_Junior[[#This Row],[J4 TOTAL]],Majorette_Group_PomponGroup_Junior[[#This Row],[J5 TOTAL]],)</calculatedColumnFormula>
    </tableColumn>
    <tableColumn id="25" xr3:uid="{FAB369F0-52DB-453C-824E-3FCAEBEDA45E}" name="Final Total" dataDxfId="269">
      <calculatedColumnFormula>SUM(Majorette_Group_PomponGroup_Junior[[#This Row],[Total]]-Majorette_Group_PomponGroup_Junior[[#This Row],[Low]]-Majorette_Group_PomponGroup_Junior[[#This Row],[High]])</calculatedColumnFormula>
    </tableColumn>
    <tableColumn id="24" xr3:uid="{5CA8D09E-F5D1-4EF1-AE95-22F81177DA81}" name="Avg" dataDxfId="268">
      <calculatedColumnFormula>AVERAGE(I2,M2,Q2,U2,Y2)</calculatedColumnFormula>
    </tableColumn>
    <tableColumn id="22" xr3:uid="{88AA788C-150C-4AB5-8735-F9DB2ED4820F}" name="FINAL SCORE" dataDxfId="267">
      <calculatedColumnFormula>Majorette_Group_PomponGroup_Junior[[#This Row],[Final Total]]</calculatedColumnFormula>
    </tableColumn>
    <tableColumn id="27" xr3:uid="{AA402F37-B1B6-44B7-A8AD-CA07DBF9DB36}" name="Rank" dataDxfId="266">
      <calculatedColumnFormula>COUNTIFS(Majorette_Group_PomponGroup_Junior[Age
Division],Majorette_Group_PomponGroup_Junior[[#This Row],[Age
Division]],Majorette_Group_PomponGroup_Junior[Category],Majorette_Group_PomponGroup_Junior[[#This Row],[Category]],Majorette_Group_PomponGroup_Junior[FINAL SCORE],"&gt;"&amp;Majorette_Group_PomponGroup_Junior[[#This Row],[FINAL SCORE]])+1</calculatedColumnFormula>
    </tableColumn>
    <tableColumn id="39" xr3:uid="{650D54BA-8ACA-4867-97CF-3794D3AFA4F9}" name="Category Type" dataDxfId="265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CECA558-4F9F-4DE3-9CEE-DE9B005AA877}" name="Majorette_Group_ShowDance_Mini" displayName="Majorette_Group_ShowDance_Mini" ref="A1:AJ2" totalsRowShown="0" headerRowDxfId="226" dataDxfId="225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98D258F2-BC50-4A47-990E-62FC122221E7}" name="Start No." dataDxfId="262"/>
    <tableColumn id="8" xr3:uid="{69DF31BA-11CD-4823-86F9-78E8B943F706}" name="Lane" dataDxfId="261"/>
    <tableColumn id="9" xr3:uid="{8B91523B-6D9E-46DE-927B-D8EE8F0984A2}" name="Category" dataDxfId="260"/>
    <tableColumn id="32" xr3:uid="{E4D38695-7740-4C8A-BB6D-22A07BB7866B}" name="Age_x000a_Division" dataDxfId="259"/>
    <tableColumn id="40" xr3:uid="{5228B704-B62C-49DF-BCBA-5C82ADBB3D3F}" name="Level" dataDxfId="258"/>
    <tableColumn id="4" xr3:uid="{62A6A703-D8DA-46A7-BF3C-1512B0B86197}" name="Athlete" dataDxfId="257"/>
    <tableColumn id="38" xr3:uid="{05D0A854-2366-4CF4-BBCD-6203478F5372}" name="Club" dataDxfId="256"/>
    <tableColumn id="37" xr3:uid="{651DB7ED-BE84-4FC0-AEAE-E911214779F2}" name="Country" dataDxfId="255"/>
    <tableColumn id="15" xr3:uid="{1A302A52-8A15-43E4-B660-01CE2C109D17}" name="Judge 1_x000a_Tamara Beljak" dataDxfId="254"/>
    <tableColumn id="33" xr3:uid="{9C4097CB-A38C-4EB3-8B4D-308904F15E2B}" name="J1 (-)" dataDxfId="253"/>
    <tableColumn id="26" xr3:uid="{E6CC0189-47F6-4306-A52A-5FA0F911EC8B}" name="J1 TOTAL" dataDxfId="252">
      <calculatedColumnFormula>Majorette_Group_ShowDance_Mini[[#This Row],[Judge 1
Tamara Beljak]]-J2</calculatedColumnFormula>
    </tableColumn>
    <tableColumn id="3" xr3:uid="{FC355246-CB4A-4E8F-AC79-ADEFA155ED87}" name="J1 (Rank)" dataDxfId="251">
      <calculatedColumnFormula>COUNTIFS(Majorette_Group_ShowDance_Mini[Age
Division],Majorette_Group_ShowDance_Mini[[#This Row],[Age
Division]],Majorette_Group_ShowDance_Mini[Category],Majorette_Group_ShowDance_Mini[[#This Row],[Category]],Majorette_Group_ShowDance_Mini[J1 TOTAL],"&gt;"&amp;Majorette_Group_ShowDance_Mini[[#This Row],[J1 TOTAL]])+1</calculatedColumnFormula>
    </tableColumn>
    <tableColumn id="16" xr3:uid="{4840B7C7-87B1-4BAA-B97A-BEFB40E9E640}" name="Judge 2_x000a_Tihomir Bendelja" dataDxfId="250"/>
    <tableColumn id="34" xr3:uid="{3F4B556A-157C-4D1E-91A3-074F5DA19B0F}" name="J2 (-)" dataDxfId="249"/>
    <tableColumn id="28" xr3:uid="{424D9B76-5B97-40F9-99E8-58A2FDF73BA8}" name="J2 TOTAL" dataDxfId="248">
      <calculatedColumnFormula>Majorette_Group_ShowDance_Mini[[#This Row],[Judge 2
Tihomir Bendelja]]-Majorette_Group_ShowDance_Mini[[#This Row],[J2 (-)]]</calculatedColumnFormula>
    </tableColumn>
    <tableColumn id="5" xr3:uid="{2456BBA9-9D2D-4CE4-90DE-DE4423F22B8A}" name="J2 (Rank)" dataDxfId="247">
      <calculatedColumnFormula>COUNTIFS(Majorette_Group_ShowDance_Mini[Age
Division],Majorette_Group_ShowDance_Mini[[#This Row],[Age
Division]],Majorette_Group_ShowDance_Mini[Category],Majorette_Group_ShowDance_Mini[[#This Row],[Category]],Majorette_Group_ShowDance_Mini[J2 TOTAL],"&gt;"&amp;Majorette_Group_ShowDance_Mini[[#This Row],[J2 TOTAL]])+1</calculatedColumnFormula>
    </tableColumn>
    <tableColumn id="17" xr3:uid="{8FCDD728-575F-4C02-901D-6105567F2090}" name="Judge 3_x000a_Tea Softić" dataDxfId="246"/>
    <tableColumn id="35" xr3:uid="{2D229BF3-98A7-4018-A8C5-3B9164528189}" name="J3 (-)" dataDxfId="245"/>
    <tableColumn id="30" xr3:uid="{F660717C-4C6A-4830-8724-DBDA118F5A50}" name="J3 TOTAL" dataDxfId="244">
      <calculatedColumnFormula>Majorette_Group_ShowDance_Mini[[#This Row],[Judge 3
Tea Softić]]-R2</calculatedColumnFormula>
    </tableColumn>
    <tableColumn id="6" xr3:uid="{AEBB8DE1-82B7-47B7-929D-63D9F3595BF5}" name="J3 (Rank)" dataDxfId="243">
      <calculatedColumnFormula>COUNTIFS(Majorette_Group_ShowDance_Mini[Age
Division],Majorette_Group_ShowDance_Mini[[#This Row],[Age
Division]],Majorette_Group_ShowDance_Mini[Category],Majorette_Group_ShowDance_Mini[[#This Row],[Category]],Majorette_Group_ShowDance_Mini[J3 TOTAL],"&gt;"&amp;Majorette_Group_ShowDance_Mini[[#This Row],[J3 TOTAL]])+1</calculatedColumnFormula>
    </tableColumn>
    <tableColumn id="18" xr3:uid="{955FAF82-1723-4CC0-A25E-1C8ECF4E62A7}" name="Judge 4_x000a_Bernard Barač" dataDxfId="242"/>
    <tableColumn id="36" xr3:uid="{B3A19828-E0E9-4CD5-95DA-1D7358960872}" name="J4 (-)" dataDxfId="241"/>
    <tableColumn id="31" xr3:uid="{2A6D3402-AA24-4494-B2E5-BF9709AD8556}" name="J4 TOTAL" dataDxfId="240">
      <calculatedColumnFormula>Majorette_Group_ShowDance_Mini[[#This Row],[Judge 4
Bernard Barač]]-V2</calculatedColumnFormula>
    </tableColumn>
    <tableColumn id="7" xr3:uid="{C82639EC-7A16-4531-B5AC-9B43831E671C}" name="J4 (Rank)" dataDxfId="239">
      <calculatedColumnFormula>COUNTIFS(Majorette_Group_ShowDance_Mini[Age
Division],Majorette_Group_ShowDance_Mini[[#This Row],[Age
Division]],Majorette_Group_ShowDance_Mini[Category],Majorette_Group_ShowDance_Mini[[#This Row],[Category]],Majorette_Group_ShowDance_Mini[J4 TOTAL],"&gt;"&amp;Majorette_Group_ShowDance_Mini[[#This Row],[J4 TOTAL]])+1</calculatedColumnFormula>
    </tableColumn>
    <tableColumn id="12" xr3:uid="{510F5839-1DC2-4B21-9991-8E9BF9681297}" name="Judge 5_x000a_Barbara Novina" dataDxfId="238"/>
    <tableColumn id="11" xr3:uid="{932DF6FD-1EA7-419F-B0C7-FE0F97889170}" name="J5 (-)" dataDxfId="237"/>
    <tableColumn id="10" xr3:uid="{3D105A8F-23AC-4653-ACF2-794F78B3C2E4}" name="J5 TOTAL" dataDxfId="236">
      <calculatedColumnFormula>Majorette_Group_ShowDance_Mini[[#This Row],[Judge 5
Barbara Novina]]-Z2</calculatedColumnFormula>
    </tableColumn>
    <tableColumn id="2" xr3:uid="{83277A9F-DA1B-4D91-9DFC-F1988CC22A06}" name="J5 (Rank)" dataDxfId="235">
      <calculatedColumnFormula>COUNTIFS(Majorette_Group_ShowDance_Mini[Age
Division],Majorette_Group_ShowDance_Mini[[#This Row],[Age
Division]],Majorette_Group_ShowDance_Mini[Category],Majorette_Group_ShowDance_Mini[[#This Row],[Category]],Majorette_Group_ShowDance_Mini[J5 TOTAL],"&gt;"&amp;Majorette_Group_ShowDance_Mini[[#This Row],[J5 TOTAL]])+1</calculatedColumnFormula>
    </tableColumn>
    <tableColumn id="20" xr3:uid="{A623B0DA-E44C-447D-9462-57745902D800}" name="Total" dataDxfId="234">
      <calculatedColumnFormula>SUM(Majorette_Group_ShowDance_Mini[[#This Row],[J1 TOTAL]]+Majorette_Group_ShowDance_Mini[[#This Row],[J2 TOTAL]]+Majorette_Group_ShowDance_Mini[[#This Row],[J3 TOTAL]]+Majorette_Group_ShowDance_Mini[[#This Row],[J4 TOTAL]])+Majorette_Group_ShowDance_Mini[[#This Row],[J5 TOTAL]]</calculatedColumnFormula>
    </tableColumn>
    <tableColumn id="23" xr3:uid="{0E14E802-3149-459D-88A1-5EFFF0A64446}" name="Low" dataDxfId="233">
      <calculatedColumnFormula>MIN(Majorette_Group_ShowDance_Mini[[#This Row],[J1 TOTAL]],Majorette_Group_ShowDance_Mini[[#This Row],[J2 TOTAL]],Majorette_Group_ShowDance_Mini[[#This Row],[J3 TOTAL]],Majorette_Group_ShowDance_Mini[[#This Row],[J4 TOTAL]],Majorette_Group_ShowDance_Mini[[#This Row],[J5 TOTAL]])</calculatedColumnFormula>
    </tableColumn>
    <tableColumn id="19" xr3:uid="{43F2B042-8499-494B-A04E-0EF8BC746713}" name="High" dataDxfId="232">
      <calculatedColumnFormula>MAX(Majorette_Group_ShowDance_Mini[[#This Row],[J1 TOTAL]],Majorette_Group_ShowDance_Mini[[#This Row],[J2 TOTAL]],Majorette_Group_ShowDance_Mini[[#This Row],[J3 TOTAL]],Majorette_Group_ShowDance_Mini[[#This Row],[J4 TOTAL]],Majorette_Group_ShowDance_Mini[[#This Row],[J5 TOTAL]],)</calculatedColumnFormula>
    </tableColumn>
    <tableColumn id="25" xr3:uid="{0ABC0F56-C6C8-4337-8C44-BD8FACE60E84}" name="Final Total" dataDxfId="231">
      <calculatedColumnFormula>SUM(Majorette_Group_ShowDance_Mini[[#This Row],[Total]]-Majorette_Group_ShowDance_Mini[[#This Row],[Low]]-Majorette_Group_ShowDance_Mini[[#This Row],[High]])</calculatedColumnFormula>
    </tableColumn>
    <tableColumn id="24" xr3:uid="{6C00FD8F-8F15-443D-B2B3-4B509237F920}" name="Avg" dataDxfId="230">
      <calculatedColumnFormula>AVERAGE(I2,M2,Q2,U2,Y2)</calculatedColumnFormula>
    </tableColumn>
    <tableColumn id="22" xr3:uid="{38D51B77-D40B-4A3C-AD82-F54E8774E936}" name="FINAL SCORE" dataDxfId="229">
      <calculatedColumnFormula>Majorette_Group_ShowDance_Mini[[#This Row],[Final Total]]</calculatedColumnFormula>
    </tableColumn>
    <tableColumn id="27" xr3:uid="{9862A306-A271-4408-8A07-3437FD4924EE}" name="Rank" dataDxfId="228">
      <calculatedColumnFormula>COUNTIFS(Majorette_Group_ShowDance_Mini[Age
Division],Majorette_Group_ShowDance_Mini[[#This Row],[Age
Division]],Majorette_Group_ShowDance_Mini[Category],Majorette_Group_ShowDance_Mini[[#This Row],[Category]],Majorette_Group_ShowDance_Mini[FINAL SCORE],"&gt;"&amp;Majorette_Group_ShowDance_Mini[[#This Row],[FINAL SCORE]])+1</calculatedColumnFormula>
    </tableColumn>
    <tableColumn id="39" xr3:uid="{12CD2F6B-AE73-4C5F-A4AF-DE0AE5B1D622}" name="Category Type" dataDxfId="227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69D607BA-1A38-467B-AEF4-782BF796CC38}" name="Majorette_Group_ShowDance_Children" displayName="Majorette_Group_ShowDance_Children" ref="A1:AJ2" totalsRowShown="0" headerRowDxfId="188" dataDxfId="187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867B6C97-D0AC-4C4D-8F50-8724355F597E}" name="Start No." dataDxfId="224"/>
    <tableColumn id="8" xr3:uid="{DAA28E73-65C2-4C45-9805-2CFB59D3CA14}" name="Lane" dataDxfId="223"/>
    <tableColumn id="9" xr3:uid="{44F0F6E6-8765-4FD9-A6D0-5D349C5EE295}" name="Category" dataDxfId="222"/>
    <tableColumn id="32" xr3:uid="{BDB34DDA-67D9-465D-998A-5EAD2ED634FC}" name="Age_x000a_Division" dataDxfId="221"/>
    <tableColumn id="40" xr3:uid="{77E43689-388A-4061-828A-2A13729EA5FD}" name="Level" dataDxfId="220"/>
    <tableColumn id="4" xr3:uid="{98AF12A1-9553-4C93-B75C-DD790EAA784A}" name="Athlete" dataDxfId="219"/>
    <tableColumn id="38" xr3:uid="{CBF388C8-6E8C-48C1-974A-0FD34C68468D}" name="Club" dataDxfId="218"/>
    <tableColumn id="37" xr3:uid="{5987B326-9DE0-4077-A111-214546A72215}" name="Country" dataDxfId="217"/>
    <tableColumn id="15" xr3:uid="{5BC932FA-B4D0-4B95-9B1F-F0D3A1C1B019}" name="Judge 1_x000a_Tamara Beljak" dataDxfId="216"/>
    <tableColumn id="33" xr3:uid="{64909E58-8D75-474A-B415-F475A4AEA125}" name="J1 (-)" dataDxfId="215"/>
    <tableColumn id="26" xr3:uid="{BDC9F2C0-85D0-4CCE-9A7B-172EBF488223}" name="J1 TOTAL" dataDxfId="214">
      <calculatedColumnFormula>Majorette_Group_ShowDance_Children[[#This Row],[Judge 1
Tamara Beljak]]-J2</calculatedColumnFormula>
    </tableColumn>
    <tableColumn id="3" xr3:uid="{5338D3FA-0E48-4024-8633-D8DDE880FEAB}" name="J1 (Rank)" dataDxfId="213">
      <calculatedColumnFormula>COUNTIFS(Majorette_Group_ShowDance_Children[Age
Division],Majorette_Group_ShowDance_Children[[#This Row],[Age
Division]],Majorette_Group_ShowDance_Children[Category],Majorette_Group_ShowDance_Children[[#This Row],[Category]],Majorette_Group_ShowDance_Children[J1 TOTAL],"&gt;"&amp;Majorette_Group_ShowDance_Children[[#This Row],[J1 TOTAL]])+1</calculatedColumnFormula>
    </tableColumn>
    <tableColumn id="16" xr3:uid="{95537941-4C98-4C5C-99BF-208C21972829}" name="Judge 2_x000a_Tihomir Bendelja" dataDxfId="212"/>
    <tableColumn id="34" xr3:uid="{429BB747-1A96-4431-BBC4-31DFBBB44EDE}" name="J2 (-)" dataDxfId="211"/>
    <tableColumn id="28" xr3:uid="{7FD91C19-0495-4EF1-A303-028A0737220F}" name="J2 TOTAL" dataDxfId="210">
      <calculatedColumnFormula>Majorette_Group_ShowDance_Children[[#This Row],[Judge 2
Tihomir Bendelja]]-Majorette_Group_ShowDance_Children[[#This Row],[J2 (-)]]</calculatedColumnFormula>
    </tableColumn>
    <tableColumn id="5" xr3:uid="{C64F8825-E299-42D8-A67A-A838DE854A63}" name="J2 (Rank)" dataDxfId="209">
      <calculatedColumnFormula>COUNTIFS(Majorette_Group_ShowDance_Children[Age
Division],Majorette_Group_ShowDance_Children[[#This Row],[Age
Division]],Majorette_Group_ShowDance_Children[Category],Majorette_Group_ShowDance_Children[[#This Row],[Category]],Majorette_Group_ShowDance_Children[J2 TOTAL],"&gt;"&amp;Majorette_Group_ShowDance_Children[[#This Row],[J2 TOTAL]])+1</calculatedColumnFormula>
    </tableColumn>
    <tableColumn id="17" xr3:uid="{53CA1733-F524-4685-975D-29B5BFC80632}" name="Judge 3_x000a_Tea Softić" dataDxfId="208"/>
    <tableColumn id="35" xr3:uid="{D642DCE8-8288-418C-8960-A9853C924E24}" name="J3 (-)" dataDxfId="207"/>
    <tableColumn id="30" xr3:uid="{87EABBE5-B3C3-43DB-A2B5-620D9DC5A11E}" name="J3 TOTAL" dataDxfId="206">
      <calculatedColumnFormula>Majorette_Group_ShowDance_Children[[#This Row],[Judge 3
Tea Softić]]-R2</calculatedColumnFormula>
    </tableColumn>
    <tableColumn id="6" xr3:uid="{7A0BAB85-B21C-4E6F-8E68-B9698C295397}" name="J3 (Rank)" dataDxfId="205">
      <calculatedColumnFormula>COUNTIFS(Majorette_Group_ShowDance_Children[Age
Division],Majorette_Group_ShowDance_Children[[#This Row],[Age
Division]],Majorette_Group_ShowDance_Children[Category],Majorette_Group_ShowDance_Children[[#This Row],[Category]],Majorette_Group_ShowDance_Children[J3 TOTAL],"&gt;"&amp;Majorette_Group_ShowDance_Children[[#This Row],[J3 TOTAL]])+1</calculatedColumnFormula>
    </tableColumn>
    <tableColumn id="18" xr3:uid="{F85B4E4A-9654-41F5-B0F9-B9922301A860}" name="Judge 4_x000a_Bernard Barač" dataDxfId="204"/>
    <tableColumn id="36" xr3:uid="{01A5F1F1-7C86-4537-A347-B473DEE6BA5C}" name="J4 (-)" dataDxfId="203"/>
    <tableColumn id="31" xr3:uid="{4FC56A0E-F653-42EF-A90B-CD6C16C39569}" name="J4 TOTAL" dataDxfId="202">
      <calculatedColumnFormula>Majorette_Group_ShowDance_Children[[#This Row],[Judge 4
Bernard Barač]]-V2</calculatedColumnFormula>
    </tableColumn>
    <tableColumn id="7" xr3:uid="{D7424E11-FF30-4B32-89C9-58770A807FC4}" name="J4 (Rank)" dataDxfId="201">
      <calculatedColumnFormula>COUNTIFS(Majorette_Group_ShowDance_Children[Age
Division],Majorette_Group_ShowDance_Children[[#This Row],[Age
Division]],Majorette_Group_ShowDance_Children[Category],Majorette_Group_ShowDance_Children[[#This Row],[Category]],Majorette_Group_ShowDance_Children[J4 TOTAL],"&gt;"&amp;Majorette_Group_ShowDance_Children[[#This Row],[J4 TOTAL]])+1</calculatedColumnFormula>
    </tableColumn>
    <tableColumn id="12" xr3:uid="{FC2A6BB9-1FC9-41A9-9D76-3E661B836401}" name="Judge 5_x000a_Barbara Novina" dataDxfId="200"/>
    <tableColumn id="11" xr3:uid="{DD867B47-B09C-4BE8-B8D2-F0F06F693965}" name="J5 (-)" dataDxfId="199"/>
    <tableColumn id="10" xr3:uid="{83AEECF3-9A6E-4B68-BD3B-59B53F86CEE3}" name="J5 TOTAL" dataDxfId="198">
      <calculatedColumnFormula>Majorette_Group_ShowDance_Children[[#This Row],[Judge 5
Barbara Novina]]-Z2</calculatedColumnFormula>
    </tableColumn>
    <tableColumn id="2" xr3:uid="{613A306D-846E-4FFD-A707-A6E8896EF361}" name="J5 (Rank)" dataDxfId="197">
      <calculatedColumnFormula>COUNTIFS(Majorette_Group_ShowDance_Children[Age
Division],Majorette_Group_ShowDance_Children[[#This Row],[Age
Division]],Majorette_Group_ShowDance_Children[Category],Majorette_Group_ShowDance_Children[[#This Row],[Category]],Majorette_Group_ShowDance_Children[J5 TOTAL],"&gt;"&amp;Majorette_Group_ShowDance_Children[[#This Row],[J5 TOTAL]])+1</calculatedColumnFormula>
    </tableColumn>
    <tableColumn id="20" xr3:uid="{384D58DA-E36C-4273-8C10-CCBA4FB21D40}" name="Total" dataDxfId="196">
      <calculatedColumnFormula>SUM(Majorette_Group_ShowDance_Children[[#This Row],[J1 TOTAL]]+Majorette_Group_ShowDance_Children[[#This Row],[J2 TOTAL]]+Majorette_Group_ShowDance_Children[[#This Row],[J3 TOTAL]]+Majorette_Group_ShowDance_Children[[#This Row],[J4 TOTAL]])+Majorette_Group_ShowDance_Children[[#This Row],[J5 TOTAL]]</calculatedColumnFormula>
    </tableColumn>
    <tableColumn id="23" xr3:uid="{3C295498-289F-44F5-A618-4B11BDE60A51}" name="Low" dataDxfId="195">
      <calculatedColumnFormula>MIN(Majorette_Group_ShowDance_Children[[#This Row],[J1 TOTAL]],Majorette_Group_ShowDance_Children[[#This Row],[J2 TOTAL]],Majorette_Group_ShowDance_Children[[#This Row],[J3 TOTAL]],Majorette_Group_ShowDance_Children[[#This Row],[J4 TOTAL]],Majorette_Group_ShowDance_Children[[#This Row],[J5 TOTAL]])</calculatedColumnFormula>
    </tableColumn>
    <tableColumn id="19" xr3:uid="{04EC271A-6D8D-42C2-8D33-4BF29DBC3EF7}" name="High" dataDxfId="194">
      <calculatedColumnFormula>MAX(Majorette_Group_ShowDance_Children[[#This Row],[J1 TOTAL]],Majorette_Group_ShowDance_Children[[#This Row],[J2 TOTAL]],Majorette_Group_ShowDance_Children[[#This Row],[J3 TOTAL]],Majorette_Group_ShowDance_Children[[#This Row],[J4 TOTAL]],Majorette_Group_ShowDance_Children[[#This Row],[J5 TOTAL]],)</calculatedColumnFormula>
    </tableColumn>
    <tableColumn id="25" xr3:uid="{453843CA-6C18-48AD-9F1E-A912747A3D08}" name="Final Total" dataDxfId="193">
      <calculatedColumnFormula>SUM(Majorette_Group_ShowDance_Children[[#This Row],[Total]]-Majorette_Group_ShowDance_Children[[#This Row],[Low]]-Majorette_Group_ShowDance_Children[[#This Row],[High]])</calculatedColumnFormula>
    </tableColumn>
    <tableColumn id="24" xr3:uid="{725574DA-6AAF-410D-B41B-2C05B37BCDC1}" name="Avg" dataDxfId="192">
      <calculatedColumnFormula>AVERAGE(I2,M2,Q2,U2,Y2)</calculatedColumnFormula>
    </tableColumn>
    <tableColumn id="22" xr3:uid="{496A8F0B-1251-40F8-9E03-C5499693C8CF}" name="FINAL SCORE" dataDxfId="191">
      <calculatedColumnFormula>Majorette_Group_ShowDance_Children[[#This Row],[Final Total]]</calculatedColumnFormula>
    </tableColumn>
    <tableColumn id="27" xr3:uid="{231B3B1B-0483-4894-BCFA-7FC21977FB1D}" name="Rank" dataDxfId="190">
      <calculatedColumnFormula>COUNTIFS(Majorette_Group_ShowDance_Children[Age
Division],Majorette_Group_ShowDance_Children[[#This Row],[Age
Division]],Majorette_Group_ShowDance_Children[Category],Majorette_Group_ShowDance_Children[[#This Row],[Category]],Majorette_Group_ShowDance_Children[FINAL SCORE],"&gt;"&amp;Majorette_Group_ShowDance_Children[[#This Row],[FINAL SCORE]])+1</calculatedColumnFormula>
    </tableColumn>
    <tableColumn id="39" xr3:uid="{B6AB93BA-83C1-4F33-9E7D-CCA9C680F5AE}" name="Category Type" dataDxfId="189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0E46DCB-31F8-4B84-8FA1-11ED70401F56}" name="Majorette_Group_ShowDance_Cadet" displayName="Majorette_Group_ShowDance_Cadet" ref="A1:AJ3" totalsRowShown="0" headerRowDxfId="150" dataDxfId="149">
  <autoFilter ref="A1:AJ3" xr:uid="{042C9DAD-4CB0-4D2A-8C87-3D9863992DF4}"/>
  <sortState xmlns:xlrd2="http://schemas.microsoft.com/office/spreadsheetml/2017/richdata2" ref="A2:AJ3">
    <sortCondition ref="AI1:AI3"/>
  </sortState>
  <tableColumns count="36">
    <tableColumn id="1" xr3:uid="{B6818457-0586-476F-AAED-A9E8B458631B}" name="Start No." dataDxfId="186"/>
    <tableColumn id="8" xr3:uid="{67E6F7F1-F026-4472-969A-E3314F3CBC79}" name="Lane" dataDxfId="185"/>
    <tableColumn id="9" xr3:uid="{67394328-9765-452F-BB24-932D68CA4211}" name="Category" dataDxfId="184"/>
    <tableColumn id="32" xr3:uid="{C88A5D37-10ED-449C-BDBD-650273FCE901}" name="Age_x000a_Division" dataDxfId="183"/>
    <tableColumn id="40" xr3:uid="{7478933A-6785-4E95-92CB-C23DCFD6AFBF}" name="Level" dataDxfId="182"/>
    <tableColumn id="4" xr3:uid="{68A6CD6B-718C-4A23-8D0D-44EEC70EF1D3}" name="Athlete" dataDxfId="181"/>
    <tableColumn id="38" xr3:uid="{0B038C71-21C1-4EFD-A991-309F9A07AEE4}" name="Club" dataDxfId="180"/>
    <tableColumn id="37" xr3:uid="{A3574020-FCDA-442A-9DB9-F14E19A89457}" name="Country" dataDxfId="179"/>
    <tableColumn id="15" xr3:uid="{F0ADA80F-41C0-40CD-ACEF-2719BB4D7D4C}" name="Judge 1_x000a_Tamara Beljak" dataDxfId="178"/>
    <tableColumn id="33" xr3:uid="{9777A3DB-ECEC-450C-BAB2-0DD49DDC545B}" name="J1 (-)" dataDxfId="177"/>
    <tableColumn id="26" xr3:uid="{6F848362-DAEF-4F43-9855-0E2778D1B796}" name="J1 TOTAL" dataDxfId="176">
      <calculatedColumnFormula>Majorette_Group_ShowDance_Cadet[[#This Row],[Judge 1
Tamara Beljak]]-J2</calculatedColumnFormula>
    </tableColumn>
    <tableColumn id="3" xr3:uid="{9046CE28-2B0A-48B5-B425-1E496226D8B5}" name="J1 (Rank)" dataDxfId="175">
      <calculatedColumnFormula>COUNTIFS(Majorette_Group_ShowDance_Cadet[Age
Division],Majorette_Group_ShowDance_Cadet[[#This Row],[Age
Division]],Majorette_Group_ShowDance_Cadet[Category],Majorette_Group_ShowDance_Cadet[[#This Row],[Category]],Majorette_Group_ShowDance_Cadet[J1 TOTAL],"&gt;"&amp;Majorette_Group_ShowDance_Cadet[[#This Row],[J1 TOTAL]])+1</calculatedColumnFormula>
    </tableColumn>
    <tableColumn id="16" xr3:uid="{814DCEDB-4CC2-438E-BA5C-0C72E02BDAB7}" name="Judge 2_x000a_Tihomir Bendelja" dataDxfId="174"/>
    <tableColumn id="34" xr3:uid="{FC98B759-95DF-44A5-85A6-770E0001EDA3}" name="J2 (-)" dataDxfId="173"/>
    <tableColumn id="28" xr3:uid="{6AE46A2E-4BE1-4288-8082-A4370D08AB02}" name="J2 TOTAL" dataDxfId="172">
      <calculatedColumnFormula>Majorette_Group_ShowDance_Cadet[[#This Row],[Judge 2
Tihomir Bendelja]]-Majorette_Group_ShowDance_Cadet[[#This Row],[J2 (-)]]</calculatedColumnFormula>
    </tableColumn>
    <tableColumn id="5" xr3:uid="{4510EC93-B8BE-459A-8548-92431A683FC7}" name="J2 (Rank)" dataDxfId="171">
      <calculatedColumnFormula>COUNTIFS(Majorette_Group_ShowDance_Cadet[Age
Division],Majorette_Group_ShowDance_Cadet[[#This Row],[Age
Division]],Majorette_Group_ShowDance_Cadet[Category],Majorette_Group_ShowDance_Cadet[[#This Row],[Category]],Majorette_Group_ShowDance_Cadet[J2 TOTAL],"&gt;"&amp;Majorette_Group_ShowDance_Cadet[[#This Row],[J2 TOTAL]])+1</calculatedColumnFormula>
    </tableColumn>
    <tableColumn id="17" xr3:uid="{E79C2F9F-9942-4596-A599-336F14BB1FC8}" name="Judge 3_x000a_Tea Softić" dataDxfId="170"/>
    <tableColumn id="35" xr3:uid="{D6240DA8-775B-4C26-99E9-51829BF4970E}" name="J3 (-)" dataDxfId="169"/>
    <tableColumn id="30" xr3:uid="{2F0FE2C0-40FA-4F5E-BDC8-84F6248ED502}" name="J3 TOTAL" dataDxfId="168">
      <calculatedColumnFormula>Majorette_Group_ShowDance_Cadet[[#This Row],[Judge 3
Tea Softić]]-R2</calculatedColumnFormula>
    </tableColumn>
    <tableColumn id="6" xr3:uid="{8710006E-74A9-4BD9-A695-90FD4AFAACEB}" name="J3 (Rank)" dataDxfId="167">
      <calculatedColumnFormula>COUNTIFS(Majorette_Group_ShowDance_Cadet[Age
Division],Majorette_Group_ShowDance_Cadet[[#This Row],[Age
Division]],Majorette_Group_ShowDance_Cadet[Category],Majorette_Group_ShowDance_Cadet[[#This Row],[Category]],Majorette_Group_ShowDance_Cadet[J3 TOTAL],"&gt;"&amp;Majorette_Group_ShowDance_Cadet[[#This Row],[J3 TOTAL]])+1</calculatedColumnFormula>
    </tableColumn>
    <tableColumn id="18" xr3:uid="{C62E2F7D-C169-4041-9450-9621F72B8B42}" name="Judge 4_x000a_Bernard Barač" dataDxfId="166"/>
    <tableColumn id="36" xr3:uid="{AAB3AC62-CADF-4B0B-B2E2-4E233045C3C4}" name="J4 (-)" dataDxfId="165"/>
    <tableColumn id="31" xr3:uid="{07CDF15E-B36F-455E-B8DE-CFE88B3487D4}" name="J4 TOTAL" dataDxfId="164">
      <calculatedColumnFormula>Majorette_Group_ShowDance_Cadet[[#This Row],[Judge 4
Bernard Barač]]-V2</calculatedColumnFormula>
    </tableColumn>
    <tableColumn id="7" xr3:uid="{3BB5F602-8B66-47C4-A875-89C6FB1ACF98}" name="J4 (Rank)" dataDxfId="163">
      <calculatedColumnFormula>COUNTIFS(Majorette_Group_ShowDance_Cadet[Age
Division],Majorette_Group_ShowDance_Cadet[[#This Row],[Age
Division]],Majorette_Group_ShowDance_Cadet[Category],Majorette_Group_ShowDance_Cadet[[#This Row],[Category]],Majorette_Group_ShowDance_Cadet[J4 TOTAL],"&gt;"&amp;Majorette_Group_ShowDance_Cadet[[#This Row],[J4 TOTAL]])+1</calculatedColumnFormula>
    </tableColumn>
    <tableColumn id="12" xr3:uid="{F2990A03-0012-401E-816F-8898D3438E46}" name="Judge 5_x000a_Barbara Novina" dataDxfId="162"/>
    <tableColumn id="11" xr3:uid="{FA43D28A-093B-46A0-98D6-A5D358CB5C37}" name="J5 (-)" dataDxfId="161"/>
    <tableColumn id="10" xr3:uid="{278A9310-9369-4720-AA01-C7F393754699}" name="J5 TOTAL" dataDxfId="160">
      <calculatedColumnFormula>Majorette_Group_ShowDance_Cadet[[#This Row],[Judge 5
Barbara Novina]]-Z2</calculatedColumnFormula>
    </tableColumn>
    <tableColumn id="2" xr3:uid="{19D80AA8-1EEE-45AB-9A4D-6C59568BDF76}" name="J5 (Rank)" dataDxfId="159">
      <calculatedColumnFormula>COUNTIFS(Majorette_Group_ShowDance_Cadet[Age
Division],Majorette_Group_ShowDance_Cadet[[#This Row],[Age
Division]],Majorette_Group_ShowDance_Cadet[Category],Majorette_Group_ShowDance_Cadet[[#This Row],[Category]],Majorette_Group_ShowDance_Cadet[J5 TOTAL],"&gt;"&amp;Majorette_Group_ShowDance_Cadet[[#This Row],[J5 TOTAL]])+1</calculatedColumnFormula>
    </tableColumn>
    <tableColumn id="20" xr3:uid="{5086897E-160F-412C-BC79-798EF978F7F7}" name="Total" dataDxfId="158">
      <calculatedColumnFormula>SUM(Majorette_Group_ShowDance_Cadet[[#This Row],[J1 TOTAL]]+Majorette_Group_ShowDance_Cadet[[#This Row],[J2 TOTAL]]+Majorette_Group_ShowDance_Cadet[[#This Row],[J3 TOTAL]]+Majorette_Group_ShowDance_Cadet[[#This Row],[J4 TOTAL]])+Majorette_Group_ShowDance_Cadet[[#This Row],[J5 TOTAL]]</calculatedColumnFormula>
    </tableColumn>
    <tableColumn id="23" xr3:uid="{4AADF1AF-A00E-415D-ADEE-94D4E3287408}" name="Low" dataDxfId="157">
      <calculatedColumnFormula>MIN(Majorette_Group_ShowDance_Cadet[[#This Row],[J1 TOTAL]],Majorette_Group_ShowDance_Cadet[[#This Row],[J2 TOTAL]],Majorette_Group_ShowDance_Cadet[[#This Row],[J3 TOTAL]],Majorette_Group_ShowDance_Cadet[[#This Row],[J4 TOTAL]],Majorette_Group_ShowDance_Cadet[[#This Row],[J5 TOTAL]])</calculatedColumnFormula>
    </tableColumn>
    <tableColumn id="19" xr3:uid="{62BFA738-5679-4E5C-9D8E-F98095EBC9FF}" name="High" dataDxfId="156">
      <calculatedColumnFormula>MAX(Majorette_Group_ShowDance_Cadet[[#This Row],[J1 TOTAL]],Majorette_Group_ShowDance_Cadet[[#This Row],[J2 TOTAL]],Majorette_Group_ShowDance_Cadet[[#This Row],[J3 TOTAL]],Majorette_Group_ShowDance_Cadet[[#This Row],[J4 TOTAL]],Majorette_Group_ShowDance_Cadet[[#This Row],[J5 TOTAL]],)</calculatedColumnFormula>
    </tableColumn>
    <tableColumn id="25" xr3:uid="{1A9AEFEA-092B-44B8-B158-AC497F91F5CA}" name="Final Total" dataDxfId="155">
      <calculatedColumnFormula>SUM(Majorette_Group_ShowDance_Cadet[[#This Row],[Total]]-Majorette_Group_ShowDance_Cadet[[#This Row],[Low]]-Majorette_Group_ShowDance_Cadet[[#This Row],[High]])</calculatedColumnFormula>
    </tableColumn>
    <tableColumn id="24" xr3:uid="{E99F8153-5035-43FA-AD53-945CBAF54969}" name="Avg" dataDxfId="154">
      <calculatedColumnFormula>AVERAGE(I2,M2,Q2,U2,Y2)</calculatedColumnFormula>
    </tableColumn>
    <tableColumn id="22" xr3:uid="{48A7DB37-CAA0-44C9-8CCC-7C6F816A5221}" name="FINAL SCORE" dataDxfId="153">
      <calculatedColumnFormula>Majorette_Group_ShowDance_Cadet[[#This Row],[Final Total]]</calculatedColumnFormula>
    </tableColumn>
    <tableColumn id="27" xr3:uid="{CD413951-D362-4C6A-8CD7-FE8F81CCB0B1}" name="Rank" dataDxfId="152">
      <calculatedColumnFormula>COUNTIFS(Majorette_Group_ShowDance_Cadet[Age
Division],Majorette_Group_ShowDance_Cadet[[#This Row],[Age
Division]],Majorette_Group_ShowDance_Cadet[Category],Majorette_Group_ShowDance_Cadet[[#This Row],[Category]],Majorette_Group_ShowDance_Cadet[FINAL SCORE],"&gt;"&amp;Majorette_Group_ShowDance_Cadet[[#This Row],[FINAL SCORE]])+1</calculatedColumnFormula>
    </tableColumn>
    <tableColumn id="39" xr3:uid="{17F9F2D8-7C2A-42DE-9FF7-BB7406A45073}" name="Category Type" dataDxfId="1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8946E3-8941-4462-AE68-B36FA23B1FEB}" name="Majorette_Solo_MajoretteSolo_Senior" displayName="Majorette_Solo_MajoretteSolo_Senior" ref="A1:AJ3" totalsRowShown="0" headerRowDxfId="1480" dataDxfId="1479">
  <autoFilter ref="A1:AJ3" xr:uid="{042C9DAD-4CB0-4D2A-8C87-3D9863992DF4}"/>
  <sortState xmlns:xlrd2="http://schemas.microsoft.com/office/spreadsheetml/2017/richdata2" ref="A2:AJ3">
    <sortCondition ref="AI1:AI3"/>
  </sortState>
  <tableColumns count="36">
    <tableColumn id="1" xr3:uid="{2B7BFB8C-D587-4DAA-9A04-29E91D36016B}" name="Start No." dataDxfId="1516"/>
    <tableColumn id="8" xr3:uid="{7AAA76AC-B050-4208-802C-97803E180A48}" name="Lane" dataDxfId="1515"/>
    <tableColumn id="9" xr3:uid="{837C326D-EB20-42FB-AB8B-900C88E055D5}" name="Category" dataDxfId="1514"/>
    <tableColumn id="32" xr3:uid="{56BFED3D-5AEB-4E24-B2A5-7E726DC14BCA}" name="Age_x000a_Division" dataDxfId="1513"/>
    <tableColumn id="40" xr3:uid="{98E0F650-8F9C-4C41-B950-13AFB38177C7}" name="Level" dataDxfId="1512"/>
    <tableColumn id="4" xr3:uid="{85645362-9659-4DAD-8660-72C6E094EFB5}" name="Athlete" dataDxfId="1511"/>
    <tableColumn id="38" xr3:uid="{54EFD66F-8D65-4FAE-A9DC-FD3E09BC011E}" name="Club" dataDxfId="1510"/>
    <tableColumn id="37" xr3:uid="{03968069-6872-4DC1-A4C4-A15780F7806C}" name="Country" dataDxfId="1509"/>
    <tableColumn id="15" xr3:uid="{72035DBD-3F17-4C05-B953-2E112EE208C3}" name="Judge 1_x000a_Tamara Beljak" dataDxfId="1508"/>
    <tableColumn id="33" xr3:uid="{A8E5CC96-028D-43D8-BC63-AC7B2C376F63}" name="J1 (-)" dataDxfId="1507"/>
    <tableColumn id="26" xr3:uid="{D71E405E-E814-482B-ABFA-987492FC877A}" name="J1 TOTAL" dataDxfId="1506">
      <calculatedColumnFormula>Majorette_Solo_MajoretteSolo_Senior[[#This Row],[Judge 1
Tamara Beljak]]-J2</calculatedColumnFormula>
    </tableColumn>
    <tableColumn id="3" xr3:uid="{88935275-8BDE-4F7B-A215-AE25BDAB4D49}" name="J1 (Rank)" dataDxfId="1505">
      <calculatedColumnFormula>COUNTIFS(Majorette_Solo_MajoretteSolo_Senior[Age
Division],Majorette_Solo_MajoretteSolo_Senior[[#This Row],[Age
Division]],Majorette_Solo_MajoretteSolo_Senior[Category],Majorette_Solo_MajoretteSolo_Senior[[#This Row],[Category]],Majorette_Solo_MajoretteSolo_Senior[J1 TOTAL],"&gt;"&amp;Majorette_Solo_MajoretteSolo_Senior[[#This Row],[J1 TOTAL]])+1</calculatedColumnFormula>
    </tableColumn>
    <tableColumn id="16" xr3:uid="{9E0BA74B-462C-4FA8-8B2A-DC23842659B2}" name="Judge 2_x000a_Tihomir Bendelja" dataDxfId="1504"/>
    <tableColumn id="34" xr3:uid="{82DEC9A6-917E-4824-8684-1A2687AE7839}" name="J2 (-)" dataDxfId="1503"/>
    <tableColumn id="28" xr3:uid="{2D3E1D78-8D44-4AC7-93D0-1E8A2D0750A5}" name="J2 TOTAL" dataDxfId="1502">
      <calculatedColumnFormula>Majorette_Solo_MajoretteSolo_Senior[[#This Row],[Judge 2
Tihomir Bendelja]]-Majorette_Solo_MajoretteSolo_Senior[[#This Row],[J2 (-)]]</calculatedColumnFormula>
    </tableColumn>
    <tableColumn id="5" xr3:uid="{2F7472F3-FCEA-4DBF-A5AE-DF801E4BB9E1}" name="J2 (Rank)" dataDxfId="1501">
      <calculatedColumnFormula>COUNTIFS(Majorette_Solo_MajoretteSolo_Senior[Age
Division],Majorette_Solo_MajoretteSolo_Senior[[#This Row],[Age
Division]],Majorette_Solo_MajoretteSolo_Senior[Category],Majorette_Solo_MajoretteSolo_Senior[[#This Row],[Category]],Majorette_Solo_MajoretteSolo_Senior[J2 TOTAL],"&gt;"&amp;Majorette_Solo_MajoretteSolo_Senior[[#This Row],[J2 TOTAL]])+1</calculatedColumnFormula>
    </tableColumn>
    <tableColumn id="17" xr3:uid="{EA0D9149-1072-4C64-8BB3-4C40AC8906F4}" name="Judge 3_x000a_Tea Softić" dataDxfId="1500"/>
    <tableColumn id="35" xr3:uid="{5C86FCF8-D8E1-4275-83D7-61907818CDC7}" name="J3 (-)" dataDxfId="1499"/>
    <tableColumn id="30" xr3:uid="{6D47D82E-3EDF-4AB1-AE3A-70AEC44A7E4B}" name="J3 TOTAL" dataDxfId="1498">
      <calculatedColumnFormula>Majorette_Solo_MajoretteSolo_Senior[[#This Row],[Judge 3
Tea Softić]]-R2</calculatedColumnFormula>
    </tableColumn>
    <tableColumn id="6" xr3:uid="{46302BC7-8216-4FBE-BE47-C1A205C56E6F}" name="J3 (Rank)" dataDxfId="1497">
      <calculatedColumnFormula>COUNTIFS(Majorette_Solo_MajoretteSolo_Senior[Age
Division],Majorette_Solo_MajoretteSolo_Senior[[#This Row],[Age
Division]],Majorette_Solo_MajoretteSolo_Senior[Category],Majorette_Solo_MajoretteSolo_Senior[[#This Row],[Category]],Majorette_Solo_MajoretteSolo_Senior[J3 TOTAL],"&gt;"&amp;Majorette_Solo_MajoretteSolo_Senior[[#This Row],[J3 TOTAL]])+1</calculatedColumnFormula>
    </tableColumn>
    <tableColumn id="18" xr3:uid="{4FE21CE8-1D28-4C6B-9EB1-789DDB4B40EF}" name="Judge 4_x000a_Bernard Barač" dataDxfId="1496"/>
    <tableColumn id="36" xr3:uid="{39C0EF29-9254-4200-B1BB-371699A7A1D5}" name="J4 (-)" dataDxfId="1495"/>
    <tableColumn id="31" xr3:uid="{656725EC-D8B1-48B3-A991-BB6A007515CB}" name="J4 TOTAL" dataDxfId="1494">
      <calculatedColumnFormula>Majorette_Solo_MajoretteSolo_Senior[[#This Row],[Judge 4
Bernard Barač]]-V2</calculatedColumnFormula>
    </tableColumn>
    <tableColumn id="7" xr3:uid="{C16086B2-CC7C-4900-A260-152C3D606F69}" name="J4 (Rank)" dataDxfId="1493">
      <calculatedColumnFormula>COUNTIFS(Majorette_Solo_MajoretteSolo_Senior[Age
Division],Majorette_Solo_MajoretteSolo_Senior[[#This Row],[Age
Division]],Majorette_Solo_MajoretteSolo_Senior[Category],Majorette_Solo_MajoretteSolo_Senior[[#This Row],[Category]],Majorette_Solo_MajoretteSolo_Senior[J4 TOTAL],"&gt;"&amp;Majorette_Solo_MajoretteSolo_Senior[[#This Row],[J4 TOTAL]])+1</calculatedColumnFormula>
    </tableColumn>
    <tableColumn id="12" xr3:uid="{14F01EF7-A8CA-4EB5-963B-C92A956DF7BB}" name="Judge 5_x000a_Barbara Novina" dataDxfId="1492"/>
    <tableColumn id="11" xr3:uid="{D7622AD6-E8E0-493C-99C9-E32C0CCE0834}" name="J5 (-)" dataDxfId="1491"/>
    <tableColumn id="10" xr3:uid="{9FA87F62-EED2-46E0-84BF-AFAD29A86FBA}" name="J5 TOTAL" dataDxfId="1490">
      <calculatedColumnFormula>Majorette_Solo_MajoretteSolo_Senior[[#This Row],[Judge 5
Barbara Novina]]-Z2</calculatedColumnFormula>
    </tableColumn>
    <tableColumn id="2" xr3:uid="{1ACD777E-D7E7-475E-BBCA-FA2925AE6094}" name="J5 (Rank)" dataDxfId="1489">
      <calculatedColumnFormula>COUNTIFS(Majorette_Solo_MajoretteSolo_Senior[Age
Division],Majorette_Solo_MajoretteSolo_Senior[[#This Row],[Age
Division]],Majorette_Solo_MajoretteSolo_Senior[Category],Majorette_Solo_MajoretteSolo_Senior[[#This Row],[Category]],Majorette_Solo_MajoretteSolo_Senior[J5 TOTAL],"&gt;"&amp;Majorette_Solo_MajoretteSolo_Senior[[#This Row],[J5 TOTAL]])+1</calculatedColumnFormula>
    </tableColumn>
    <tableColumn id="20" xr3:uid="{F044E081-EE34-4A79-A847-DCF418BF62EA}" name="Total" dataDxfId="1488">
      <calculatedColumnFormula>SUM(Majorette_Solo_MajoretteSolo_Senior[[#This Row],[J1 TOTAL]]+Majorette_Solo_MajoretteSolo_Senior[[#This Row],[J2 TOTAL]]+Majorette_Solo_MajoretteSolo_Senior[[#This Row],[J3 TOTAL]]+Majorette_Solo_MajoretteSolo_Senior[[#This Row],[J4 TOTAL]])+Majorette_Solo_MajoretteSolo_Senior[[#This Row],[J5 TOTAL]]</calculatedColumnFormula>
    </tableColumn>
    <tableColumn id="23" xr3:uid="{AAC0AFD1-3D5C-4D53-8236-6DA52B76BF06}" name="Low" dataDxfId="1487"/>
    <tableColumn id="19" xr3:uid="{33806B00-848F-48CD-878C-76A214301166}" name="High" dataDxfId="1486"/>
    <tableColumn id="25" xr3:uid="{5E7B9197-13BE-479F-8EB5-0DDDED5DCBED}" name="Final Total" dataDxfId="1485">
      <calculatedColumnFormula>SUM(Majorette_Solo_MajoretteSolo_Senior[[#This Row],[Total]]-Majorette_Solo_MajoretteSolo_Senior[[#This Row],[Low]]-Majorette_Solo_MajoretteSolo_Senior[[#This Row],[High]])</calculatedColumnFormula>
    </tableColumn>
    <tableColumn id="24" xr3:uid="{2A7FB1AD-285A-46FE-9DB4-F6DB205828B3}" name="Avg" dataDxfId="1484">
      <calculatedColumnFormula>AVERAGE(I2,M2,Q2,U2,Y2)</calculatedColumnFormula>
    </tableColumn>
    <tableColumn id="22" xr3:uid="{10AAE78C-9A28-44D1-AC03-0B82E6895923}" name="FINAL SCORE" dataDxfId="1483">
      <calculatedColumnFormula>Majorette_Solo_MajoretteSolo_Senior[[#This Row],[Final Total]]</calculatedColumnFormula>
    </tableColumn>
    <tableColumn id="27" xr3:uid="{6747B1DA-2855-4299-8759-BD6298941508}" name="Rank" dataDxfId="1482">
      <calculatedColumnFormula>COUNTIFS(Majorette_Solo_MajoretteSolo_Senior[Age
Division],Majorette_Solo_MajoretteSolo_Senior[[#This Row],[Age
Division]],Majorette_Solo_MajoretteSolo_Senior[Category],Majorette_Solo_MajoretteSolo_Senior[[#This Row],[Category]],Majorette_Solo_MajoretteSolo_Senior[FINAL SCORE],"&gt;"&amp;Majorette_Solo_MajoretteSolo_Senior[[#This Row],[FINAL SCORE]])+1</calculatedColumnFormula>
    </tableColumn>
    <tableColumn id="39" xr3:uid="{9F728F2D-EBBD-4D68-AD02-48FE7B2960F5}" name="Category Type" dataDxfId="1481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B7EEF5F-AFD1-4786-98B3-BF0F7EAFA3AB}" name="Majorette_Group_ShowDance_Junior" displayName="Majorette_Group_ShowDance_Junior" ref="A1:AJ2" totalsRowShown="0" headerRowDxfId="112" dataDxfId="111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2FB281EC-66EB-4007-8BE4-EF83E796DC36}" name="Start No." dataDxfId="148"/>
    <tableColumn id="8" xr3:uid="{7130C2EB-681F-4871-B805-9A31986DAACF}" name="Lane" dataDxfId="147"/>
    <tableColumn id="9" xr3:uid="{11B8766D-29FE-42CD-9AAA-F6B2A31A006B}" name="Category" dataDxfId="146"/>
    <tableColumn id="32" xr3:uid="{BE09975F-A181-431A-89E8-2F2CD507A26D}" name="Age_x000a_Division" dataDxfId="145"/>
    <tableColumn id="40" xr3:uid="{0C98F672-2658-41E3-B333-DB026AC2430D}" name="Level" dataDxfId="144"/>
    <tableColumn id="4" xr3:uid="{461C4F25-EDA7-4C6B-B0DF-AD55AA9AD413}" name="Athlete" dataDxfId="143"/>
    <tableColumn id="38" xr3:uid="{2C482908-27C5-43E3-948B-58864F26D2EA}" name="Club" dataDxfId="142"/>
    <tableColumn id="37" xr3:uid="{C3902D7B-2316-4807-AC68-0960D1C75136}" name="Country" dataDxfId="141"/>
    <tableColumn id="15" xr3:uid="{A8693ED6-B84A-40CA-AE33-A0EB9851C3D7}" name="Judge 1_x000a_Tamara Beljak" dataDxfId="140"/>
    <tableColumn id="33" xr3:uid="{183F8BD5-939B-48D1-B0D1-026953C5375A}" name="J1 (-)" dataDxfId="139"/>
    <tableColumn id="26" xr3:uid="{38D52C3A-EE18-47E5-8DA8-C460468E4299}" name="J1 TOTAL" dataDxfId="138">
      <calculatedColumnFormula>Majorette_Group_ShowDance_Junior[[#This Row],[Judge 1
Tamara Beljak]]-J2</calculatedColumnFormula>
    </tableColumn>
    <tableColumn id="3" xr3:uid="{2E3A34B7-98EE-4589-9044-BE03EE81C142}" name="J1 (Rank)" dataDxfId="137">
      <calculatedColumnFormula>COUNTIFS(Majorette_Group_ShowDance_Junior[Age
Division],Majorette_Group_ShowDance_Junior[[#This Row],[Age
Division]],Majorette_Group_ShowDance_Junior[Category],Majorette_Group_ShowDance_Junior[[#This Row],[Category]],Majorette_Group_ShowDance_Junior[J1 TOTAL],"&gt;"&amp;Majorette_Group_ShowDance_Junior[[#This Row],[J1 TOTAL]])+1</calculatedColumnFormula>
    </tableColumn>
    <tableColumn id="16" xr3:uid="{78B784C9-3632-4E49-850F-9DC5CBC29558}" name="Judge 2_x000a_Tihomir Bendelja" dataDxfId="136"/>
    <tableColumn id="34" xr3:uid="{7ED81998-0F36-4B3E-AC35-22790EF8FC2C}" name="J2 (-)" dataDxfId="135"/>
    <tableColumn id="28" xr3:uid="{C6D2E8CB-D498-46CA-A50B-5883D8397A92}" name="J2 TOTAL" dataDxfId="134">
      <calculatedColumnFormula>Majorette_Group_ShowDance_Junior[[#This Row],[Judge 2
Tihomir Bendelja]]-Majorette_Group_ShowDance_Junior[[#This Row],[J2 (-)]]</calculatedColumnFormula>
    </tableColumn>
    <tableColumn id="5" xr3:uid="{99A7719A-A102-4624-80F0-C956EB3DA94E}" name="J2 (Rank)" dataDxfId="133">
      <calculatedColumnFormula>COUNTIFS(Majorette_Group_ShowDance_Junior[Age
Division],Majorette_Group_ShowDance_Junior[[#This Row],[Age
Division]],Majorette_Group_ShowDance_Junior[Category],Majorette_Group_ShowDance_Junior[[#This Row],[Category]],Majorette_Group_ShowDance_Junior[J2 TOTAL],"&gt;"&amp;Majorette_Group_ShowDance_Junior[[#This Row],[J2 TOTAL]])+1</calculatedColumnFormula>
    </tableColumn>
    <tableColumn id="17" xr3:uid="{925C9067-68F5-4BAE-8C5B-08F6D1E42B17}" name="Judge 3_x000a_Tea Softić" dataDxfId="132"/>
    <tableColumn id="35" xr3:uid="{28552982-4255-4686-85B7-FDFCFB00C5DB}" name="J3 (-)" dataDxfId="131"/>
    <tableColumn id="30" xr3:uid="{0EB7E6AE-CCF7-433D-B546-A013B376740F}" name="J3 TOTAL" dataDxfId="130">
      <calculatedColumnFormula>Majorette_Group_ShowDance_Junior[[#This Row],[Judge 3
Tea Softić]]-R2</calculatedColumnFormula>
    </tableColumn>
    <tableColumn id="6" xr3:uid="{C9E5147A-AE0D-4453-B758-083B8D6F9B62}" name="J3 (Rank)" dataDxfId="129">
      <calculatedColumnFormula>COUNTIFS(Majorette_Group_ShowDance_Junior[Age
Division],Majorette_Group_ShowDance_Junior[[#This Row],[Age
Division]],Majorette_Group_ShowDance_Junior[Category],Majorette_Group_ShowDance_Junior[[#This Row],[Category]],Majorette_Group_ShowDance_Junior[J3 TOTAL],"&gt;"&amp;Majorette_Group_ShowDance_Junior[[#This Row],[J3 TOTAL]])+1</calculatedColumnFormula>
    </tableColumn>
    <tableColumn id="18" xr3:uid="{11D5BEBB-D716-4A55-8B10-A796A84681E9}" name="Judge 4_x000a_Bernard Barač" dataDxfId="128"/>
    <tableColumn id="36" xr3:uid="{CD15C90A-10BD-4E04-9D28-91D45020F5BB}" name="J4 (-)" dataDxfId="127"/>
    <tableColumn id="31" xr3:uid="{1C0C53C8-6FB7-4647-8167-180B921748C8}" name="J4 TOTAL" dataDxfId="126">
      <calculatedColumnFormula>Majorette_Group_ShowDance_Junior[[#This Row],[Judge 4
Bernard Barač]]-V2</calculatedColumnFormula>
    </tableColumn>
    <tableColumn id="7" xr3:uid="{3B9A3BCF-BB25-4B7A-AE1F-548989C16B37}" name="J4 (Rank)" dataDxfId="125">
      <calculatedColumnFormula>COUNTIFS(Majorette_Group_ShowDance_Junior[Age
Division],Majorette_Group_ShowDance_Junior[[#This Row],[Age
Division]],Majorette_Group_ShowDance_Junior[Category],Majorette_Group_ShowDance_Junior[[#This Row],[Category]],Majorette_Group_ShowDance_Junior[J4 TOTAL],"&gt;"&amp;Majorette_Group_ShowDance_Junior[[#This Row],[J4 TOTAL]])+1</calculatedColumnFormula>
    </tableColumn>
    <tableColumn id="12" xr3:uid="{DE968953-84B9-4FD6-B47B-D1323B096ADE}" name="Judge 5_x000a_Barbara Novina" dataDxfId="124"/>
    <tableColumn id="11" xr3:uid="{D1B6764F-1369-4C70-9BA5-D078B9828743}" name="J5 (-)" dataDxfId="123"/>
    <tableColumn id="10" xr3:uid="{4C11AA9A-3322-46F8-9950-24D115467EB0}" name="J5 TOTAL" dataDxfId="122">
      <calculatedColumnFormula>Majorette_Group_ShowDance_Junior[[#This Row],[Judge 5
Barbara Novina]]-Z2</calculatedColumnFormula>
    </tableColumn>
    <tableColumn id="2" xr3:uid="{7F936043-C902-4B28-9AF6-ED1B5FC2969D}" name="J5 (Rank)" dataDxfId="121">
      <calculatedColumnFormula>COUNTIFS(Majorette_Group_ShowDance_Junior[Age
Division],Majorette_Group_ShowDance_Junior[[#This Row],[Age
Division]],Majorette_Group_ShowDance_Junior[Category],Majorette_Group_ShowDance_Junior[[#This Row],[Category]],Majorette_Group_ShowDance_Junior[J5 TOTAL],"&gt;"&amp;Majorette_Group_ShowDance_Junior[[#This Row],[J5 TOTAL]])+1</calculatedColumnFormula>
    </tableColumn>
    <tableColumn id="20" xr3:uid="{14380B3E-62AB-4296-8062-F2A162AED8BE}" name="Total" dataDxfId="120">
      <calculatedColumnFormula>SUM(Majorette_Group_ShowDance_Junior[[#This Row],[J1 TOTAL]]+Majorette_Group_ShowDance_Junior[[#This Row],[J2 TOTAL]]+Majorette_Group_ShowDance_Junior[[#This Row],[J3 TOTAL]]+Majorette_Group_ShowDance_Junior[[#This Row],[J4 TOTAL]])+Majorette_Group_ShowDance_Junior[[#This Row],[J5 TOTAL]]</calculatedColumnFormula>
    </tableColumn>
    <tableColumn id="23" xr3:uid="{E9524F1A-62D9-4F18-A939-A6975F5DACB8}" name="Low" dataDxfId="119">
      <calculatedColumnFormula>MIN(Majorette_Group_ShowDance_Junior[[#This Row],[J1 TOTAL]],Majorette_Group_ShowDance_Junior[[#This Row],[J2 TOTAL]],Majorette_Group_ShowDance_Junior[[#This Row],[J3 TOTAL]],Majorette_Group_ShowDance_Junior[[#This Row],[J4 TOTAL]],Majorette_Group_ShowDance_Junior[[#This Row],[J5 TOTAL]])</calculatedColumnFormula>
    </tableColumn>
    <tableColumn id="19" xr3:uid="{D20DDA32-204B-4428-A929-02CDBF12F56B}" name="High" dataDxfId="118">
      <calculatedColumnFormula>MAX(Majorette_Group_ShowDance_Junior[[#This Row],[J1 TOTAL]],Majorette_Group_ShowDance_Junior[[#This Row],[J2 TOTAL]],Majorette_Group_ShowDance_Junior[[#This Row],[J3 TOTAL]],Majorette_Group_ShowDance_Junior[[#This Row],[J4 TOTAL]],Majorette_Group_ShowDance_Junior[[#This Row],[J5 TOTAL]],)</calculatedColumnFormula>
    </tableColumn>
    <tableColumn id="25" xr3:uid="{F3428CA2-7F1C-4237-B3C8-BF108ABCE8FA}" name="Final Total" dataDxfId="117">
      <calculatedColumnFormula>SUM(Majorette_Group_ShowDance_Junior[[#This Row],[Total]]-Majorette_Group_ShowDance_Junior[[#This Row],[Low]]-Majorette_Group_ShowDance_Junior[[#This Row],[High]])</calculatedColumnFormula>
    </tableColumn>
    <tableColumn id="24" xr3:uid="{7DE2F854-CFAA-435D-839D-FFAF09B27B9B}" name="Avg" dataDxfId="116">
      <calculatedColumnFormula>AVERAGE(I2,M2,Q2,U2,Y2)</calculatedColumnFormula>
    </tableColumn>
    <tableColumn id="22" xr3:uid="{C4013879-B4C2-4683-B19C-F5898F74E3F3}" name="FINAL SCORE" dataDxfId="115">
      <calculatedColumnFormula>Majorette_Group_ShowDance_Junior[[#This Row],[Final Total]]</calculatedColumnFormula>
    </tableColumn>
    <tableColumn id="27" xr3:uid="{01F31BA0-0798-44B7-B828-200C8A24D779}" name="Rank" dataDxfId="114">
      <calculatedColumnFormula>COUNTIFS(Majorette_Group_ShowDance_Junior[Age
Division],Majorette_Group_ShowDance_Junior[[#This Row],[Age
Division]],Majorette_Group_ShowDance_Junior[Category],Majorette_Group_ShowDance_Junior[[#This Row],[Category]],Majorette_Group_ShowDance_Junior[FINAL SCORE],"&gt;"&amp;Majorette_Group_ShowDance_Junior[[#This Row],[FINAL SCORE]])+1</calculatedColumnFormula>
    </tableColumn>
    <tableColumn id="39" xr3:uid="{24B9633E-065B-421B-9AD6-F3DB12692722}" name="Category Type" dataDxfId="113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D303AA02-1662-43D7-A0E0-CD39B469E44C}" name="Majorette_Group_ShowDance_Senior" displayName="Majorette_Group_ShowDance_Senior" ref="A1:AJ2" totalsRowShown="0" headerRowDxfId="74" dataDxfId="73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B367B04E-6940-4B78-BD01-150EA0FC4627}" name="Start No." dataDxfId="110"/>
    <tableColumn id="8" xr3:uid="{0EF11438-A71F-40BB-B5BC-57267B38E37F}" name="Lane" dataDxfId="109"/>
    <tableColumn id="9" xr3:uid="{DA2BF1C4-14EC-4A93-866E-F26C0E7CE659}" name="Category" dataDxfId="108"/>
    <tableColumn id="32" xr3:uid="{A347190A-A66C-496D-8BD5-E22DB49C888C}" name="Age_x000a_Division" dataDxfId="107"/>
    <tableColumn id="40" xr3:uid="{E72B9935-62C7-492A-90E5-36F062914C90}" name="Level" dataDxfId="106"/>
    <tableColumn id="4" xr3:uid="{169475E5-64E6-426C-85ED-AFC8AD08703B}" name="Athlete" dataDxfId="105"/>
    <tableColumn id="38" xr3:uid="{8BE5D0A8-EE79-41B9-8D07-D4867EA2929E}" name="Club" dataDxfId="104"/>
    <tableColumn id="37" xr3:uid="{1D0F9384-CDDF-4383-9FD1-E4F3E715BDCF}" name="Country" dataDxfId="103"/>
    <tableColumn id="15" xr3:uid="{6E48F966-8164-424F-B8AB-0A4D1CEEEEFA}" name="Judge 1_x000a_Tamara Beljak" dataDxfId="102"/>
    <tableColumn id="33" xr3:uid="{89E02092-0F5D-400B-95AD-AF94F7E5A4C2}" name="J1 (-)" dataDxfId="101"/>
    <tableColumn id="26" xr3:uid="{4FE493B1-E400-46E5-A855-5D99963CE57A}" name="J1 TOTAL" dataDxfId="100">
      <calculatedColumnFormula>Majorette_Group_ShowDance_Senior[[#This Row],[Judge 1
Tamara Beljak]]-J2</calculatedColumnFormula>
    </tableColumn>
    <tableColumn id="3" xr3:uid="{6662CF18-DFE1-4D35-A74E-87F5ACA54935}" name="J1 (Rank)" dataDxfId="99">
      <calculatedColumnFormula>COUNTIFS(Majorette_Group_ShowDance_Senior[Age
Division],Majorette_Group_ShowDance_Senior[[#This Row],[Age
Division]],Majorette_Group_ShowDance_Senior[Category],Majorette_Group_ShowDance_Senior[[#This Row],[Category]],Majorette_Group_ShowDance_Senior[J1 TOTAL],"&gt;"&amp;Majorette_Group_ShowDance_Senior[[#This Row],[J1 TOTAL]])+1</calculatedColumnFormula>
    </tableColumn>
    <tableColumn id="16" xr3:uid="{D4AE7436-880F-4F32-A102-051F12D18D94}" name="Judge 2_x000a_Tihomir Bendelja" dataDxfId="98"/>
    <tableColumn id="34" xr3:uid="{97E5D08A-F1AB-4B6C-8675-29F03A5F35EF}" name="J2 (-)" dataDxfId="97"/>
    <tableColumn id="28" xr3:uid="{BF4421C3-E086-4F59-87C5-32ADBF8BAA6E}" name="J2 TOTAL" dataDxfId="96">
      <calculatedColumnFormula>Majorette_Group_ShowDance_Senior[[#This Row],[Judge 2
Tihomir Bendelja]]-Majorette_Group_ShowDance_Senior[[#This Row],[J2 (-)]]</calculatedColumnFormula>
    </tableColumn>
    <tableColumn id="5" xr3:uid="{F5EF30E6-9EDE-46E5-8FCF-42F66A87C11D}" name="J2 (Rank)" dataDxfId="95">
      <calculatedColumnFormula>COUNTIFS(Majorette_Group_ShowDance_Senior[Age
Division],Majorette_Group_ShowDance_Senior[[#This Row],[Age
Division]],Majorette_Group_ShowDance_Senior[Category],Majorette_Group_ShowDance_Senior[[#This Row],[Category]],Majorette_Group_ShowDance_Senior[J2 TOTAL],"&gt;"&amp;Majorette_Group_ShowDance_Senior[[#This Row],[J2 TOTAL]])+1</calculatedColumnFormula>
    </tableColumn>
    <tableColumn id="17" xr3:uid="{362CC32F-4713-4EBF-95BD-4A5C48893531}" name="Judge 3_x000a_Tea Softić" dataDxfId="94"/>
    <tableColumn id="35" xr3:uid="{32E1D01B-019F-4A5F-92FD-08EA107244DD}" name="J3 (-)" dataDxfId="93"/>
    <tableColumn id="30" xr3:uid="{221194DD-69A6-4E16-AE70-EC6C730CC286}" name="J3 TOTAL" dataDxfId="92">
      <calculatedColumnFormula>Majorette_Group_ShowDance_Senior[[#This Row],[Judge 3
Tea Softić]]-R2</calculatedColumnFormula>
    </tableColumn>
    <tableColumn id="6" xr3:uid="{9DAC4C04-CB98-43CF-8F74-71610D9EC769}" name="J3 (Rank)" dataDxfId="91">
      <calculatedColumnFormula>COUNTIFS(Majorette_Group_ShowDance_Senior[Age
Division],Majorette_Group_ShowDance_Senior[[#This Row],[Age
Division]],Majorette_Group_ShowDance_Senior[Category],Majorette_Group_ShowDance_Senior[[#This Row],[Category]],Majorette_Group_ShowDance_Senior[J3 TOTAL],"&gt;"&amp;Majorette_Group_ShowDance_Senior[[#This Row],[J3 TOTAL]])+1</calculatedColumnFormula>
    </tableColumn>
    <tableColumn id="18" xr3:uid="{BE53195B-7B07-476E-87A9-B2AADE6F15CE}" name="Judge 4_x000a_Bernard Barač" dataDxfId="90"/>
    <tableColumn id="36" xr3:uid="{38F39579-4530-4A28-A628-2BDB497892BE}" name="J4 (-)" dataDxfId="89"/>
    <tableColumn id="31" xr3:uid="{BD9C3D86-B21E-46A5-A2E6-4874025C5A51}" name="J4 TOTAL" dataDxfId="88">
      <calculatedColumnFormula>Majorette_Group_ShowDance_Senior[[#This Row],[Judge 4
Bernard Barač]]-V2</calculatedColumnFormula>
    </tableColumn>
    <tableColumn id="7" xr3:uid="{5C3555BF-E46E-4234-86DC-A926ECEB4123}" name="J4 (Rank)" dataDxfId="87">
      <calculatedColumnFormula>COUNTIFS(Majorette_Group_ShowDance_Senior[Age
Division],Majorette_Group_ShowDance_Senior[[#This Row],[Age
Division]],Majorette_Group_ShowDance_Senior[Category],Majorette_Group_ShowDance_Senior[[#This Row],[Category]],Majorette_Group_ShowDance_Senior[J4 TOTAL],"&gt;"&amp;Majorette_Group_ShowDance_Senior[[#This Row],[J4 TOTAL]])+1</calculatedColumnFormula>
    </tableColumn>
    <tableColumn id="12" xr3:uid="{15E3E986-699C-4463-B5EB-2F2390D5A731}" name="Judge 5_x000a_Barbara Novina" dataDxfId="86"/>
    <tableColumn id="11" xr3:uid="{C878FA2D-CE01-4A27-8CD5-0276B738AB92}" name="J5 (-)" dataDxfId="85"/>
    <tableColumn id="10" xr3:uid="{DA5BF1AD-EE44-4321-9B9C-44A6F15E129C}" name="J5 TOTAL" dataDxfId="84">
      <calculatedColumnFormula>Majorette_Group_ShowDance_Senior[[#This Row],[Judge 5
Barbara Novina]]-Z2</calculatedColumnFormula>
    </tableColumn>
    <tableColumn id="2" xr3:uid="{C3D7F45B-FA3D-4E01-AA48-FCA03F28D942}" name="J5 (Rank)" dataDxfId="83">
      <calculatedColumnFormula>COUNTIFS(Majorette_Group_ShowDance_Senior[Age
Division],Majorette_Group_ShowDance_Senior[[#This Row],[Age
Division]],Majorette_Group_ShowDance_Senior[Category],Majorette_Group_ShowDance_Senior[[#This Row],[Category]],Majorette_Group_ShowDance_Senior[J5 TOTAL],"&gt;"&amp;Majorette_Group_ShowDance_Senior[[#This Row],[J5 TOTAL]])+1</calculatedColumnFormula>
    </tableColumn>
    <tableColumn id="20" xr3:uid="{2D9AF33C-90AE-45EC-BF2F-8A80D09C8686}" name="Total" dataDxfId="82">
      <calculatedColumnFormula>SUM(Majorette_Group_ShowDance_Senior[[#This Row],[J1 TOTAL]]+Majorette_Group_ShowDance_Senior[[#This Row],[J2 TOTAL]]+Majorette_Group_ShowDance_Senior[[#This Row],[J3 TOTAL]]+Majorette_Group_ShowDance_Senior[[#This Row],[J4 TOTAL]])+Majorette_Group_ShowDance_Senior[[#This Row],[J5 TOTAL]]</calculatedColumnFormula>
    </tableColumn>
    <tableColumn id="23" xr3:uid="{E510752E-F340-47A3-9ED1-AECC7746F642}" name="Low" dataDxfId="81">
      <calculatedColumnFormula>MIN(Majorette_Group_ShowDance_Senior[[#This Row],[J1 TOTAL]],Majorette_Group_ShowDance_Senior[[#This Row],[J2 TOTAL]],Majorette_Group_ShowDance_Senior[[#This Row],[J3 TOTAL]],Majorette_Group_ShowDance_Senior[[#This Row],[J4 TOTAL]],Majorette_Group_ShowDance_Senior[[#This Row],[J5 TOTAL]])</calculatedColumnFormula>
    </tableColumn>
    <tableColumn id="19" xr3:uid="{027C54DE-0959-40A0-93A7-D929EA00E533}" name="High" dataDxfId="80">
      <calculatedColumnFormula>MAX(Majorette_Group_ShowDance_Senior[[#This Row],[J1 TOTAL]],Majorette_Group_ShowDance_Senior[[#This Row],[J2 TOTAL]],Majorette_Group_ShowDance_Senior[[#This Row],[J3 TOTAL]],Majorette_Group_ShowDance_Senior[[#This Row],[J4 TOTAL]],Majorette_Group_ShowDance_Senior[[#This Row],[J5 TOTAL]],)</calculatedColumnFormula>
    </tableColumn>
    <tableColumn id="25" xr3:uid="{5203839F-31A7-4797-8184-99516E72E556}" name="Final Total" dataDxfId="79">
      <calculatedColumnFormula>SUM(Majorette_Group_ShowDance_Senior[[#This Row],[Total]]-Majorette_Group_ShowDance_Senior[[#This Row],[Low]]-Majorette_Group_ShowDance_Senior[[#This Row],[High]])</calculatedColumnFormula>
    </tableColumn>
    <tableColumn id="24" xr3:uid="{0C951FF9-E53C-4DD4-834E-1247987BFD1A}" name="Avg" dataDxfId="78">
      <calculatedColumnFormula>AVERAGE(I2,M2,Q2,U2,Y2)</calculatedColumnFormula>
    </tableColumn>
    <tableColumn id="22" xr3:uid="{0136A92B-54B6-40DA-BAD8-477004940221}" name="FINAL SCORE" dataDxfId="77">
      <calculatedColumnFormula>Majorette_Group_ShowDance_Senior[[#This Row],[Final Total]]</calculatedColumnFormula>
    </tableColumn>
    <tableColumn id="27" xr3:uid="{A0C0DA89-F0AE-4EA0-A474-5B370275CBEE}" name="Rank" dataDxfId="76">
      <calculatedColumnFormula>COUNTIFS(Majorette_Group_ShowDance_Senior[Age
Division],Majorette_Group_ShowDance_Senior[[#This Row],[Age
Division]],Majorette_Group_ShowDance_Senior[Category],Majorette_Group_ShowDance_Senior[[#This Row],[Category]],Majorette_Group_ShowDance_Senior[FINAL SCORE],"&gt;"&amp;Majorette_Group_ShowDance_Senior[[#This Row],[FINAL SCORE]])+1</calculatedColumnFormula>
    </tableColumn>
    <tableColumn id="39" xr3:uid="{38ED58C0-38AA-4474-9D41-4868A8C283B8}" name="Category Type" dataDxfId="75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ECC87E1A-0EF1-4C9F-A5BC-821EA0974980}" name="Majorette_Group_Flags_Open" displayName="Majorette_Group_Flags_Open" ref="A1:AJ2" totalsRowShown="0" headerRowDxfId="36" dataDxfId="35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2DF6EBBA-C6FB-4543-8039-17DCD7F201F1}" name="Start No." dataDxfId="72"/>
    <tableColumn id="8" xr3:uid="{3F2412E0-4AD3-44B2-97B0-90DCFBDE65C3}" name="Lane" dataDxfId="71"/>
    <tableColumn id="9" xr3:uid="{65DCE264-0B6C-40B6-A3E6-18E629D9A54D}" name="Category" dataDxfId="70"/>
    <tableColumn id="32" xr3:uid="{29DF276B-E7E1-42AF-AFCD-F85ECFBFBA9C}" name="Age_x000a_Division" dataDxfId="69"/>
    <tableColumn id="40" xr3:uid="{48E1B732-FF4D-4A31-A920-A3D3A098F3D2}" name="Level" dataDxfId="68"/>
    <tableColumn id="4" xr3:uid="{76D0E7B2-8F40-473E-8805-8E78492EC433}" name="Athlete" dataDxfId="67"/>
    <tableColumn id="38" xr3:uid="{8DC0B525-0884-434F-AB2D-5C407D777A8B}" name="Club" dataDxfId="66"/>
    <tableColumn id="37" xr3:uid="{7D5B69E3-7CAE-4ACD-8A6A-A76480C4DA9E}" name="Country" dataDxfId="65"/>
    <tableColumn id="15" xr3:uid="{C3DA447A-700D-4B13-BBF5-E068E19250F5}" name="Judge 1_x000a_Tamara Beljak" dataDxfId="64"/>
    <tableColumn id="33" xr3:uid="{6C2E7B04-7F3F-46BA-9432-1F78FFD0EECE}" name="J1 (-)" dataDxfId="63"/>
    <tableColumn id="26" xr3:uid="{86E06A20-765E-4AE2-BAE5-E18394C4F819}" name="J1 TOTAL" dataDxfId="62">
      <calculatedColumnFormula>Majorette_Group_Flags_Open[[#This Row],[Judge 1
Tamara Beljak]]-J2</calculatedColumnFormula>
    </tableColumn>
    <tableColumn id="3" xr3:uid="{CCDC51E1-C878-4D15-A592-66905015D6E6}" name="J1 (Rank)" dataDxfId="61">
      <calculatedColumnFormula>COUNTIFS(Majorette_Group_Flags_Open[Age
Division],Majorette_Group_Flags_Open[[#This Row],[Age
Division]],Majorette_Group_Flags_Open[Category],Majorette_Group_Flags_Open[[#This Row],[Category]],Majorette_Group_Flags_Open[J1 TOTAL],"&gt;"&amp;Majorette_Group_Flags_Open[[#This Row],[J1 TOTAL]])+1</calculatedColumnFormula>
    </tableColumn>
    <tableColumn id="16" xr3:uid="{8ACC4147-5273-48A3-92A6-7E35CA4A853E}" name="Judge 2_x000a_Tihomir Bendelja" dataDxfId="60"/>
    <tableColumn id="34" xr3:uid="{5B531B13-5F0E-4C10-9EA0-A2FCECC79AFC}" name="J2 (-)" dataDxfId="59"/>
    <tableColumn id="28" xr3:uid="{F20B95AF-89B5-44A4-BCAF-2719D3E92CEF}" name="J2 TOTAL" dataDxfId="58">
      <calculatedColumnFormula>Majorette_Group_Flags_Open[[#This Row],[Judge 2
Tihomir Bendelja]]-Majorette_Group_Flags_Open[[#This Row],[J2 (-)]]</calculatedColumnFormula>
    </tableColumn>
    <tableColumn id="5" xr3:uid="{17CC4B9D-A297-4D8C-9D73-2856C06040A8}" name="J2 (Rank)" dataDxfId="57">
      <calculatedColumnFormula>COUNTIFS(Majorette_Group_Flags_Open[Age
Division],Majorette_Group_Flags_Open[[#This Row],[Age
Division]],Majorette_Group_Flags_Open[Category],Majorette_Group_Flags_Open[[#This Row],[Category]],Majorette_Group_Flags_Open[J2 TOTAL],"&gt;"&amp;Majorette_Group_Flags_Open[[#This Row],[J2 TOTAL]])+1</calculatedColumnFormula>
    </tableColumn>
    <tableColumn id="17" xr3:uid="{9687BF96-D580-42D1-94C4-4600A9C010E3}" name="Judge 3_x000a_Tea Softić" dataDxfId="56"/>
    <tableColumn id="35" xr3:uid="{88EDC598-4FC8-412E-8165-ECEE9BF0C623}" name="J3 (-)" dataDxfId="55"/>
    <tableColumn id="30" xr3:uid="{23CD4E0F-7C36-4DD9-874A-2FC36752A95C}" name="J3 TOTAL" dataDxfId="54">
      <calculatedColumnFormula>Majorette_Group_Flags_Open[[#This Row],[Judge 3
Tea Softić]]-R2</calculatedColumnFormula>
    </tableColumn>
    <tableColumn id="6" xr3:uid="{06E78192-8D58-4C07-AA40-1586124F2092}" name="J3 (Rank)" dataDxfId="53">
      <calculatedColumnFormula>COUNTIFS(Majorette_Group_Flags_Open[Age
Division],Majorette_Group_Flags_Open[[#This Row],[Age
Division]],Majorette_Group_Flags_Open[Category],Majorette_Group_Flags_Open[[#This Row],[Category]],Majorette_Group_Flags_Open[J3 TOTAL],"&gt;"&amp;Majorette_Group_Flags_Open[[#This Row],[J3 TOTAL]])+1</calculatedColumnFormula>
    </tableColumn>
    <tableColumn id="18" xr3:uid="{B68ECABB-C94D-4D94-8280-19D932C6AB53}" name="Judge 4_x000a_Bernard Barač" dataDxfId="52"/>
    <tableColumn id="36" xr3:uid="{F00AF1FC-B3BA-47F4-B6C9-5E425369F32D}" name="J4 (-)" dataDxfId="51"/>
    <tableColumn id="31" xr3:uid="{2E6F4472-53EF-4423-B238-C5D49A4E333F}" name="J4 TOTAL" dataDxfId="50">
      <calculatedColumnFormula>Majorette_Group_Flags_Open[[#This Row],[Judge 4
Bernard Barač]]-V2</calculatedColumnFormula>
    </tableColumn>
    <tableColumn id="7" xr3:uid="{C1F63EEB-D79D-4864-AF5B-7A58BDA0BDD0}" name="J4 (Rank)" dataDxfId="49">
      <calculatedColumnFormula>COUNTIFS(Majorette_Group_Flags_Open[Age
Division],Majorette_Group_Flags_Open[[#This Row],[Age
Division]],Majorette_Group_Flags_Open[Category],Majorette_Group_Flags_Open[[#This Row],[Category]],Majorette_Group_Flags_Open[J4 TOTAL],"&gt;"&amp;Majorette_Group_Flags_Open[[#This Row],[J4 TOTAL]])+1</calculatedColumnFormula>
    </tableColumn>
    <tableColumn id="12" xr3:uid="{691A3AC1-D02F-452F-B251-9D260DCA4E75}" name="Judge 5_x000a_Barbara Novina" dataDxfId="48"/>
    <tableColumn id="11" xr3:uid="{D75D1D57-CC04-404D-9333-81863ABFB03E}" name="J5 (-)" dataDxfId="47"/>
    <tableColumn id="10" xr3:uid="{4039F53C-E80C-421D-832C-AA6C075691C3}" name="J5 TOTAL" dataDxfId="46">
      <calculatedColumnFormula>Majorette_Group_Flags_Open[[#This Row],[Judge 5
Barbara Novina]]-Z2</calculatedColumnFormula>
    </tableColumn>
    <tableColumn id="2" xr3:uid="{8206222D-02E4-4299-9ECB-8E89CC48E50B}" name="J5 (Rank)" dataDxfId="45">
      <calculatedColumnFormula>COUNTIFS(Majorette_Group_Flags_Open[Age
Division],Majorette_Group_Flags_Open[[#This Row],[Age
Division]],Majorette_Group_Flags_Open[Category],Majorette_Group_Flags_Open[[#This Row],[Category]],Majorette_Group_Flags_Open[J5 TOTAL],"&gt;"&amp;Majorette_Group_Flags_Open[[#This Row],[J5 TOTAL]])+1</calculatedColumnFormula>
    </tableColumn>
    <tableColumn id="20" xr3:uid="{A8DC6DDC-D47B-42AF-8F44-20243E197789}" name="Total" dataDxfId="44">
      <calculatedColumnFormula>SUM(Majorette_Group_Flags_Open[[#This Row],[J1 TOTAL]]+Majorette_Group_Flags_Open[[#This Row],[J2 TOTAL]]+Majorette_Group_Flags_Open[[#This Row],[J3 TOTAL]]+Majorette_Group_Flags_Open[[#This Row],[J4 TOTAL]])+Majorette_Group_Flags_Open[[#This Row],[J5 TOTAL]]</calculatedColumnFormula>
    </tableColumn>
    <tableColumn id="23" xr3:uid="{4DEFA0F8-F04B-4A83-8693-B2C344570FAE}" name="Low" dataDxfId="43">
      <calculatedColumnFormula>MIN(Majorette_Group_Flags_Open[[#This Row],[J1 TOTAL]],Majorette_Group_Flags_Open[[#This Row],[J2 TOTAL]],Majorette_Group_Flags_Open[[#This Row],[J3 TOTAL]],Majorette_Group_Flags_Open[[#This Row],[J4 TOTAL]],Majorette_Group_Flags_Open[[#This Row],[J5 TOTAL]])</calculatedColumnFormula>
    </tableColumn>
    <tableColumn id="19" xr3:uid="{DD6A4F8D-4D4A-4AE1-9424-6A5D71F430D2}" name="High" dataDxfId="42">
      <calculatedColumnFormula>MAX(Majorette_Group_Flags_Open[[#This Row],[J1 TOTAL]],Majorette_Group_Flags_Open[[#This Row],[J2 TOTAL]],Majorette_Group_Flags_Open[[#This Row],[J3 TOTAL]],Majorette_Group_Flags_Open[[#This Row],[J4 TOTAL]],Majorette_Group_Flags_Open[[#This Row],[J5 TOTAL]],)</calculatedColumnFormula>
    </tableColumn>
    <tableColumn id="25" xr3:uid="{99C57820-9F8A-4740-A7FA-4CD32818DC82}" name="Final Total" dataDxfId="41">
      <calculatedColumnFormula>SUM(Majorette_Group_Flags_Open[[#This Row],[Total]]-Majorette_Group_Flags_Open[[#This Row],[Low]]-Majorette_Group_Flags_Open[[#This Row],[High]])</calculatedColumnFormula>
    </tableColumn>
    <tableColumn id="24" xr3:uid="{79DF856F-4EE8-4CF9-AAC9-83A4BA16A5D4}" name="Avg" dataDxfId="40">
      <calculatedColumnFormula>AVERAGE(I2,M2,Q2,U2,Y2)</calculatedColumnFormula>
    </tableColumn>
    <tableColumn id="22" xr3:uid="{8791BED2-17CE-4F43-8354-91F10273C500}" name="FINAL SCORE" dataDxfId="39">
      <calculatedColumnFormula>Majorette_Group_Flags_Open[[#This Row],[Final Total]]</calculatedColumnFormula>
    </tableColumn>
    <tableColumn id="27" xr3:uid="{F964E57F-0437-40CD-BCBD-AC0AEF71F2F2}" name="Rank" dataDxfId="38">
      <calculatedColumnFormula>COUNTIFS(Majorette_Group_Flags_Open[Age
Division],Majorette_Group_Flags_Open[[#This Row],[Age
Division]],Majorette_Group_Flags_Open[Category],Majorette_Group_Flags_Open[[#This Row],[Category]],Majorette_Group_Flags_Open[FINAL SCORE],"&gt;"&amp;Majorette_Group_Flags_Open[[#This Row],[FINAL SCORE]])+1</calculatedColumnFormula>
    </tableColumn>
    <tableColumn id="39" xr3:uid="{A11E34C9-C997-4857-BA36-B7E679762490}" name="Category Type" dataDxfId="37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EE52C92-4B1A-46D9-BB32-E93ACC18C2B9}" name="Table_Query_ALL" displayName="Table_Query_ALL" ref="A1:AL93" tableType="queryTable" totalsRowShown="0">
  <autoFilter ref="A1:AL93" xr:uid="{CEE52C92-4B1A-46D9-BB32-E93ACC18C2B9}"/>
  <tableColumns count="38">
    <tableColumn id="2" xr3:uid="{1578CB92-3033-4718-A9EF-BFBC0A34D915}" uniqueName="2" name="Start No." queryTableFieldId="41"/>
    <tableColumn id="3" xr3:uid="{9C5A269E-FBDA-4A01-B54E-AE6D8E0BA3B2}" uniqueName="3" name="Lane" queryTableFieldId="42"/>
    <tableColumn id="4" xr3:uid="{1555DDE3-0D39-49C9-862A-EBBBB8B0D7ED}" uniqueName="4" name="Category" queryTableFieldId="43" dataDxfId="30"/>
    <tableColumn id="5" xr3:uid="{AF3F8989-1E66-418F-8C49-ABA1760EDB34}" uniqueName="5" name="Age_x000a_Division" queryTableFieldId="44" dataDxfId="29"/>
    <tableColumn id="6" xr3:uid="{1513D73B-C856-49BB-BC6E-D92702B13994}" uniqueName="6" name="Level" queryTableFieldId="45" dataDxfId="28"/>
    <tableColumn id="7" xr3:uid="{767CBCED-1CFE-4B13-BFDA-B215489522BA}" uniqueName="7" name="Athlete" queryTableFieldId="46"/>
    <tableColumn id="8" xr3:uid="{F9E539E0-5C65-48D9-BA84-2DFFA03E6032}" uniqueName="8" name="Club" queryTableFieldId="47" dataDxfId="27"/>
    <tableColumn id="9" xr3:uid="{F0C6DD3D-F7E9-4514-83C8-529CBF697FA2}" uniqueName="9" name="Country" queryTableFieldId="48" dataDxfId="26"/>
    <tableColumn id="10" xr3:uid="{E114F530-06DD-495A-A31A-FDC25E9D7531}" uniqueName="10" name="Judge 1_x000a_Tamara Beljak" queryTableFieldId="49" dataDxfId="25"/>
    <tableColumn id="11" xr3:uid="{A94CB9C7-6B02-4589-827E-73F0A36B56FD}" uniqueName="11" name="J1 (-)" queryTableFieldId="50" dataDxfId="24"/>
    <tableColumn id="12" xr3:uid="{22CE04C3-93CE-43C5-BA1E-65D84C2350C2}" uniqueName="12" name="J1 TOTAL" queryTableFieldId="51" dataDxfId="23"/>
    <tableColumn id="13" xr3:uid="{C7828552-90E7-45A1-868A-94F459A5368B}" uniqueName="13" name="J1 (Rank)" queryTableFieldId="52" dataDxfId="22"/>
    <tableColumn id="14" xr3:uid="{F945F525-088B-4031-9DFC-01B0E2AB3940}" uniqueName="14" name="Judge 2_x000a_Tihomir Bendelja" queryTableFieldId="53" dataDxfId="21"/>
    <tableColumn id="15" xr3:uid="{B9ED4030-89FE-47CB-83AB-F895E16FA6F1}" uniqueName="15" name="J2 (-)" queryTableFieldId="54" dataDxfId="20"/>
    <tableColumn id="16" xr3:uid="{EEF5801A-E3BF-4DE6-8EFD-22C3FC86F551}" uniqueName="16" name="J2 TOTAL" queryTableFieldId="55" dataDxfId="19"/>
    <tableColumn id="17" xr3:uid="{E5787F68-1978-4808-BC6B-02D7D7844F7C}" uniqueName="17" name="J2 (Rank)" queryTableFieldId="56" dataDxfId="18"/>
    <tableColumn id="18" xr3:uid="{6692D65E-C799-4DAC-B8EB-96A7326FBBC9}" uniqueName="18" name="Judge 3_x000a_Tea Softić" queryTableFieldId="57" dataDxfId="17"/>
    <tableColumn id="19" xr3:uid="{2F724ACB-DEDA-4A3A-AEC5-523CC3605ABD}" uniqueName="19" name="J3 (-)" queryTableFieldId="58" dataDxfId="16"/>
    <tableColumn id="20" xr3:uid="{66ED1225-43AA-473E-92E4-51EF2BE0BF26}" uniqueName="20" name="J3 TOTAL" queryTableFieldId="59" dataDxfId="15"/>
    <tableColumn id="21" xr3:uid="{F84FB48C-B0DB-4DF5-90C5-B398021A44B9}" uniqueName="21" name="J3 (Rank)" queryTableFieldId="60" dataDxfId="14"/>
    <tableColumn id="22" xr3:uid="{14FF6A12-0FF7-4262-A01F-B1567261B72A}" uniqueName="22" name="Judge 4_x000a_Bernard Barač" queryTableFieldId="61" dataDxfId="13"/>
    <tableColumn id="23" xr3:uid="{B08E7C78-056F-40C1-BCB6-449F2F46EDA9}" uniqueName="23" name="J4 (-)" queryTableFieldId="62" dataDxfId="12"/>
    <tableColumn id="24" xr3:uid="{9AB423E8-551B-4A08-BE8F-648A21BCBC86}" uniqueName="24" name="J4 TOTAL" queryTableFieldId="63" dataDxfId="11"/>
    <tableColumn id="25" xr3:uid="{FDEE63AD-6467-4662-99C9-1B391D491BCD}" uniqueName="25" name="J4 (Rank)" queryTableFieldId="64" dataDxfId="10"/>
    <tableColumn id="26" xr3:uid="{02DAAEDA-D255-4411-9B07-EFB816B4406E}" uniqueName="26" name="Judge 5_x000a_Barbara Novina" queryTableFieldId="65" dataDxfId="9"/>
    <tableColumn id="27" xr3:uid="{9F141E69-F491-4507-886B-59896AE4A437}" uniqueName="27" name="J5 (-)" queryTableFieldId="66" dataDxfId="8"/>
    <tableColumn id="28" xr3:uid="{2C41FCE9-CE2A-46B6-B85F-DF2FD9B9553E}" uniqueName="28" name="J5 TOTAL" queryTableFieldId="67" dataDxfId="7"/>
    <tableColumn id="29" xr3:uid="{201F89FC-111C-48C2-9E2E-1A1298DE34CE}" uniqueName="29" name="J5 (Rank)" queryTableFieldId="68" dataDxfId="6"/>
    <tableColumn id="30" xr3:uid="{0145C9F3-0A70-46DF-9BE2-6F884F33B611}" uniqueName="30" name="Total" queryTableFieldId="69"/>
    <tableColumn id="31" xr3:uid="{99AF9B41-7BCE-4EE2-8823-1ECB9B624D98}" uniqueName="31" name="Low" queryTableFieldId="70" dataDxfId="5"/>
    <tableColumn id="32" xr3:uid="{DCC97877-D8C5-499E-A218-4A4FFACD4FD7}" uniqueName="32" name="High" queryTableFieldId="71" dataDxfId="4"/>
    <tableColumn id="33" xr3:uid="{FB2006E1-4320-4FDD-8DE2-35DBC96BB850}" uniqueName="33" name="Final Total" queryTableFieldId="72" dataDxfId="3"/>
    <tableColumn id="34" xr3:uid="{17802835-8882-421A-BC5D-40CF94A4FF84}" uniqueName="34" name="Avg" queryTableFieldId="73" dataDxfId="2"/>
    <tableColumn id="35" xr3:uid="{20853821-3706-4934-A5F6-37BD01C1518A}" uniqueName="35" name="FINAL SCORE" queryTableFieldId="74" dataDxfId="1"/>
    <tableColumn id="36" xr3:uid="{0B9FC991-143D-4BD9-8031-3D4F05E8B94D}" uniqueName="36" name="Rank" queryTableFieldId="75" dataDxfId="0"/>
    <tableColumn id="37" xr3:uid="{F08A83B5-734C-4923-B4A1-5922D292EEB2}" uniqueName="37" name="Category Type" queryTableFieldId="76"/>
    <tableColumn id="1" xr3:uid="{B460C264-C2A5-4DCE-8986-54B85CF005B3}" uniqueName="1" name="Name" queryTableFieldId="1"/>
    <tableColumn id="38" xr3:uid="{8B4BF897-CC7F-4690-BAFE-670343779633}" uniqueName="38" name="CONSOLIDATED" queryTableFieldId="113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E3EE582-FBB4-4CF9-B938-DACC4C1BCA34}" name="Majorette_Solo_AccessoriesSolo_Children" displayName="Majorette_Solo_AccessoriesSolo_Children" ref="A1:AJ3" totalsRowShown="0" headerRowDxfId="1442" dataDxfId="1441">
  <autoFilter ref="A1:AJ3" xr:uid="{042C9DAD-4CB0-4D2A-8C87-3D9863992DF4}"/>
  <sortState xmlns:xlrd2="http://schemas.microsoft.com/office/spreadsheetml/2017/richdata2" ref="A2:AJ3">
    <sortCondition ref="AI1:AI3"/>
  </sortState>
  <tableColumns count="36">
    <tableColumn id="1" xr3:uid="{3AE67E47-6784-4CFE-8723-51D9FA658A50}" name="Start No." dataDxfId="1478"/>
    <tableColumn id="8" xr3:uid="{46FE3D99-A8B1-4C86-9561-4FC13D4B5E5A}" name="Lane" dataDxfId="1477"/>
    <tableColumn id="9" xr3:uid="{37A77A15-8AB5-4497-AE87-FC8FEBC7E0D5}" name="Category" dataDxfId="1476"/>
    <tableColumn id="32" xr3:uid="{08AD7C02-18A0-495A-A60A-04D21B747E61}" name="Age_x000a_Division" dataDxfId="1475"/>
    <tableColumn id="40" xr3:uid="{BA64FC0F-75FA-40E7-82EB-4507B8A6919B}" name="Level" dataDxfId="1474"/>
    <tableColumn id="4" xr3:uid="{940A8559-8AF4-4D42-BC20-916143719201}" name="Athlete" dataDxfId="1473"/>
    <tableColumn id="38" xr3:uid="{FDF0CFE8-70B7-4233-9399-7D45A6DF1902}" name="Club" dataDxfId="1472"/>
    <tableColumn id="37" xr3:uid="{D479BDEA-DB0D-40B5-BD3B-0F0DAD4A8B4B}" name="Country" dataDxfId="1471"/>
    <tableColumn id="15" xr3:uid="{110AB68C-1D8C-4A63-B79D-B37C65A8AC49}" name="Judge 1_x000a_Tamara Beljak" dataDxfId="1470"/>
    <tableColumn id="33" xr3:uid="{3D925666-D36D-45C2-8F5D-30D7AEAA5C23}" name="J1 (-)" dataDxfId="1469"/>
    <tableColumn id="26" xr3:uid="{744ED722-01CE-4B29-91F5-C5D35BB4611A}" name="J1 TOTAL" dataDxfId="1468">
      <calculatedColumnFormula>Majorette_Solo_AccessoriesSolo_Children[[#This Row],[Judge 1
Tamara Beljak]]-J2</calculatedColumnFormula>
    </tableColumn>
    <tableColumn id="3" xr3:uid="{01C7A31D-CFB6-4EAA-B656-05A8B568C152}" name="J1 (Rank)" dataDxfId="1467">
      <calculatedColumnFormula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Row],[Category]],Majorette_Solo_AccessoriesSolo_Children[J1 TOTAL],"&gt;"&amp;Majorette_Solo_AccessoriesSolo_Children[[#This Row],[J1 TOTAL]])+1</calculatedColumnFormula>
    </tableColumn>
    <tableColumn id="16" xr3:uid="{F30B38FC-9C2A-4866-B4DE-8B688BA51314}" name="Judge 2_x000a_Tihomir Bendelja" dataDxfId="1466"/>
    <tableColumn id="34" xr3:uid="{F9EBB904-60AB-4488-8C20-7B6871AB2A76}" name="J2 (-)" dataDxfId="1465"/>
    <tableColumn id="28" xr3:uid="{025E4046-61DE-499F-851A-C1DDBD3F241B}" name="J2 TOTAL" dataDxfId="1464">
      <calculatedColumnFormula>Majorette_Solo_AccessoriesSolo_Children[[#This Row],[Judge 2
Tihomir Bendelja]]-Majorette_Solo_AccessoriesSolo_Children[[#This Row],[J2 (-)]]</calculatedColumnFormula>
    </tableColumn>
    <tableColumn id="5" xr3:uid="{7E8FF91C-66D6-4741-86F3-69861FA6E68E}" name="J2 (Rank)" dataDxfId="1463">
      <calculatedColumnFormula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Row],[Category]],Majorette_Solo_AccessoriesSolo_Children[J2 TOTAL],"&gt;"&amp;Majorette_Solo_AccessoriesSolo_Children[[#This Row],[J2 TOTAL]])+1</calculatedColumnFormula>
    </tableColumn>
    <tableColumn id="17" xr3:uid="{AD551DBE-9D6D-41A5-BC99-87D281F8C65B}" name="Judge 3_x000a_Tea Softić" dataDxfId="1462"/>
    <tableColumn id="35" xr3:uid="{4E60C563-DA32-4B64-A080-45BFB1E828FA}" name="J3 (-)" dataDxfId="1461"/>
    <tableColumn id="30" xr3:uid="{C29B465B-CD63-4B7E-83E2-DE416AD91A38}" name="J3 TOTAL" dataDxfId="1460">
      <calculatedColumnFormula>Majorette_Solo_AccessoriesSolo_Children[[#This Row],[Judge 3
Tea Softić]]-R2</calculatedColumnFormula>
    </tableColumn>
    <tableColumn id="6" xr3:uid="{5CE51582-5F00-4612-82C8-2CAAF2AFB710}" name="J3 (Rank)" dataDxfId="1459">
      <calculatedColumnFormula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Row],[Category]],Majorette_Solo_AccessoriesSolo_Children[J3 TOTAL],"&gt;"&amp;Majorette_Solo_AccessoriesSolo_Children[[#This Row],[J3 TOTAL]])+1</calculatedColumnFormula>
    </tableColumn>
    <tableColumn id="18" xr3:uid="{FAA33518-C1EA-4A8F-BDBC-FA4AEDCE833E}" name="Judge 4_x000a_Bernard Barač" dataDxfId="1458"/>
    <tableColumn id="36" xr3:uid="{D67750D2-3D86-486B-BE5C-D0296D978C09}" name="J4 (-)" dataDxfId="1457"/>
    <tableColumn id="31" xr3:uid="{6A34CCDC-5425-43B5-9902-8948461A88FC}" name="J4 TOTAL" dataDxfId="1456">
      <calculatedColumnFormula>Majorette_Solo_AccessoriesSolo_Children[[#This Row],[Judge 4
Bernard Barač]]-V2</calculatedColumnFormula>
    </tableColumn>
    <tableColumn id="7" xr3:uid="{51BB7E81-5840-42E2-854A-A69AACE6377A}" name="J4 (Rank)" dataDxfId="1455">
      <calculatedColumnFormula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Row],[Category]],Majorette_Solo_AccessoriesSolo_Children[J4 TOTAL],"&gt;"&amp;Majorette_Solo_AccessoriesSolo_Children[[#This Row],[J4 TOTAL]])+1</calculatedColumnFormula>
    </tableColumn>
    <tableColumn id="12" xr3:uid="{E4BCDB77-0028-4E58-BA35-DEFCD920E698}" name="Judge 5_x000a_Barbara Novina" dataDxfId="1454"/>
    <tableColumn id="11" xr3:uid="{0BAFC2DF-7E21-4835-B77F-5C33F4607B62}" name="J5 (-)" dataDxfId="1453"/>
    <tableColumn id="10" xr3:uid="{C6792054-B005-4445-8E18-F0708062C8E4}" name="J5 TOTAL" dataDxfId="1452">
      <calculatedColumnFormula>Majorette_Solo_AccessoriesSolo_Children[[#This Row],[Judge 5
Barbara Novina]]-Z2</calculatedColumnFormula>
    </tableColumn>
    <tableColumn id="2" xr3:uid="{95D6873E-D9CF-44E2-BB9B-7F65BEE35B56}" name="J5 (Rank)" dataDxfId="1451">
      <calculatedColumnFormula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Row],[Category]],Majorette_Solo_AccessoriesSolo_Children[J5 TOTAL],"&gt;"&amp;Majorette_Solo_AccessoriesSolo_Children[[#This Row],[J5 TOTAL]])+1</calculatedColumnFormula>
    </tableColumn>
    <tableColumn id="20" xr3:uid="{5FB90B1D-3C5A-4D9F-8650-631AD1E4A34D}" name="Total" dataDxfId="1450">
      <calculatedColumnFormula>SUM(Majorette_Solo_AccessoriesSolo_Children[[#This Row],[J1 TOTAL]]+Majorette_Solo_AccessoriesSolo_Children[[#This Row],[J2 TOTAL]]+Majorette_Solo_AccessoriesSolo_Children[[#This Row],[J3 TOTAL]]+Majorette_Solo_AccessoriesSolo_Children[[#This Row],[J4 TOTAL]])+Majorette_Solo_AccessoriesSolo_Children[[#This Row],[J5 TOTAL]]</calculatedColumnFormula>
    </tableColumn>
    <tableColumn id="23" xr3:uid="{084B16F7-F1A5-46B3-9B25-1B3F22F33475}" name="Low" dataDxfId="1449"/>
    <tableColumn id="19" xr3:uid="{32ACA8AE-D327-4DFD-A787-51AD688A64F3}" name="High" dataDxfId="1448"/>
    <tableColumn id="25" xr3:uid="{30A04C97-AF31-4627-9628-BE4262B35336}" name="Final Total" dataDxfId="1447">
      <calculatedColumnFormula>SUM(Majorette_Solo_AccessoriesSolo_Children[[#This Row],[Total]]-Majorette_Solo_AccessoriesSolo_Children[[#This Row],[Low]]-Majorette_Solo_AccessoriesSolo_Children[[#This Row],[High]])</calculatedColumnFormula>
    </tableColumn>
    <tableColumn id="24" xr3:uid="{47A820BB-FCA5-4EAE-BCBF-713BAE78EDB6}" name="Avg" dataDxfId="1446">
      <calculatedColumnFormula>AVERAGE(I2,M2,Q2,U2,Y2)</calculatedColumnFormula>
    </tableColumn>
    <tableColumn id="22" xr3:uid="{74EE1589-955B-4BD5-A3B3-4160A4442669}" name="FINAL SCORE" dataDxfId="1445">
      <calculatedColumnFormula>Majorette_Solo_AccessoriesSolo_Children[[#This Row],[Final Total]]</calculatedColumnFormula>
    </tableColumn>
    <tableColumn id="27" xr3:uid="{1BF8FC90-486A-45C0-AEEC-F496514237A7}" name="Rank" dataDxfId="1444">
      <calculatedColumnFormula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Row],[Category]],Majorette_Solo_AccessoriesSolo_Children[FINAL SCORE],"&gt;"&amp;Majorette_Solo_AccessoriesSolo_Children[[#This Row],[FINAL SCORE]])+1</calculatedColumnFormula>
    </tableColumn>
    <tableColumn id="39" xr3:uid="{BBF70A70-A506-4687-B884-44F5895D7FBD}" name="Category Type" dataDxfId="144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F6A73D5-F596-4D27-879C-A69D163D76CB}" name="Majorette_Solo_AccessoriesSolo_Cadet" displayName="Majorette_Solo_AccessoriesSolo_Cadet" ref="A1:AJ6" totalsRowShown="0" headerRowDxfId="1404" dataDxfId="1403">
  <autoFilter ref="A1:AJ6" xr:uid="{042C9DAD-4CB0-4D2A-8C87-3D9863992DF4}"/>
  <sortState xmlns:xlrd2="http://schemas.microsoft.com/office/spreadsheetml/2017/richdata2" ref="A2:AJ6">
    <sortCondition ref="AI1:AI6"/>
  </sortState>
  <tableColumns count="36">
    <tableColumn id="1" xr3:uid="{3F79301A-62B2-4224-9E6B-5B60B59EFFBC}" name="Start No." dataDxfId="1440"/>
    <tableColumn id="8" xr3:uid="{F38300D1-FF27-41D6-AD28-CB9B7E95273F}" name="Lane" dataDxfId="1439"/>
    <tableColumn id="9" xr3:uid="{38C8C599-6719-4E34-BDDD-82445D55BFD3}" name="Category" dataDxfId="1438"/>
    <tableColumn id="32" xr3:uid="{939F44B8-6B0C-4B86-8259-5BC9B75BD4B0}" name="Age_x000a_Division" dataDxfId="1437"/>
    <tableColumn id="40" xr3:uid="{3E35BD5A-77D7-41B0-A934-B9F940BC142B}" name="Level" dataDxfId="1436"/>
    <tableColumn id="4" xr3:uid="{B071A247-2B78-4F48-BD30-9346DE06AF02}" name="Athlete" dataDxfId="1435"/>
    <tableColumn id="38" xr3:uid="{56BAEE70-BDB4-4CE3-89CA-F872EDF5E53E}" name="Club" dataDxfId="1434"/>
    <tableColumn id="37" xr3:uid="{F4712FBC-A5CB-4A34-99EF-AEAD89053A90}" name="Country" dataDxfId="1433"/>
    <tableColumn id="15" xr3:uid="{51D2E628-EBC0-4541-AEFE-ACAD0A81E585}" name="Judge 1_x000a_Tamara Beljak" dataDxfId="1432"/>
    <tableColumn id="33" xr3:uid="{6A520473-60AF-48C0-B64C-25B11A0A7E4C}" name="J1 (-)" dataDxfId="1431"/>
    <tableColumn id="26" xr3:uid="{DF791E5B-E177-481A-B0B5-7F3F62C480F9}" name="J1 TOTAL" dataDxfId="1430">
      <calculatedColumnFormula>Majorette_Solo_AccessoriesSolo_Cadet[[#This Row],[Judge 1
Tamara Beljak]]-J2</calculatedColumnFormula>
    </tableColumn>
    <tableColumn id="3" xr3:uid="{78F77A7F-432A-42F0-8FF4-9E70A9B080A6}" name="J1 (Rank)" dataDxfId="1429">
      <calculatedColumnFormula>COUNTIFS(Majorette_Solo_AccessoriesSolo_Cadet[Age
Division],Majorette_Solo_AccessoriesSolo_Cadet[[#This Row],[Age
Division]],Majorette_Solo_AccessoriesSolo_Cadet[Category],Majorette_Solo_AccessoriesSolo_Cadet[[#This Row],[Category]],Majorette_Solo_AccessoriesSolo_Cadet[J1 TOTAL],"&gt;"&amp;Majorette_Solo_AccessoriesSolo_Cadet[[#This Row],[J1 TOTAL]])+1</calculatedColumnFormula>
    </tableColumn>
    <tableColumn id="16" xr3:uid="{E9711D30-BC25-4694-B6E5-8C8E4B016696}" name="Judge 2_x000a_Tihomir Bendelja" dataDxfId="1428"/>
    <tableColumn id="34" xr3:uid="{1AA14DCE-6692-47D1-BA19-17A0D8D16E08}" name="J2 (-)" dataDxfId="1427"/>
    <tableColumn id="28" xr3:uid="{1D05773A-05EE-4A65-A12E-00C93E5596AD}" name="J2 TOTAL" dataDxfId="1426">
      <calculatedColumnFormula>Majorette_Solo_AccessoriesSolo_Cadet[[#This Row],[Judge 2
Tihomir Bendelja]]-Majorette_Solo_AccessoriesSolo_Cadet[[#This Row],[J2 (-)]]</calculatedColumnFormula>
    </tableColumn>
    <tableColumn id="5" xr3:uid="{97B84679-5000-4426-9124-77283550549E}" name="J2 (Rank)" dataDxfId="1425">
      <calculatedColumnFormula>COUNTIFS(Majorette_Solo_AccessoriesSolo_Cadet[Age
Division],Majorette_Solo_AccessoriesSolo_Cadet[[#This Row],[Age
Division]],Majorette_Solo_AccessoriesSolo_Cadet[Category],Majorette_Solo_AccessoriesSolo_Cadet[[#This Row],[Category]],Majorette_Solo_AccessoriesSolo_Cadet[J2 TOTAL],"&gt;"&amp;Majorette_Solo_AccessoriesSolo_Cadet[[#This Row],[J2 TOTAL]])+1</calculatedColumnFormula>
    </tableColumn>
    <tableColumn id="17" xr3:uid="{FA699375-BA33-4412-A25A-28079B8FA16C}" name="Judge 3_x000a_Tea Softić" dataDxfId="1424"/>
    <tableColumn id="35" xr3:uid="{1A057A57-182B-4D96-94B4-4434047B2C7B}" name="J3 (-)" dataDxfId="1423"/>
    <tableColumn id="30" xr3:uid="{F68648BE-9BAC-4418-BFF5-1EC13C4C5232}" name="J3 TOTAL" dataDxfId="1422">
      <calculatedColumnFormula>Majorette_Solo_AccessoriesSolo_Cadet[[#This Row],[Judge 3
Tea Softić]]-R2</calculatedColumnFormula>
    </tableColumn>
    <tableColumn id="6" xr3:uid="{6F4F2DA9-FF5F-4C8A-AA34-48868ABA8C24}" name="J3 (Rank)" dataDxfId="1421">
      <calculatedColumnFormula>COUNTIFS(Majorette_Solo_AccessoriesSolo_Cadet[Age
Division],Majorette_Solo_AccessoriesSolo_Cadet[[#This Row],[Age
Division]],Majorette_Solo_AccessoriesSolo_Cadet[Category],Majorette_Solo_AccessoriesSolo_Cadet[[#This Row],[Category]],Majorette_Solo_AccessoriesSolo_Cadet[J3 TOTAL],"&gt;"&amp;Majorette_Solo_AccessoriesSolo_Cadet[[#This Row],[J3 TOTAL]])+1</calculatedColumnFormula>
    </tableColumn>
    <tableColumn id="18" xr3:uid="{08016285-3E0E-4F9A-89B3-2384FDA0609A}" name="Judge 4_x000a_Bernard Barač" dataDxfId="1420"/>
    <tableColumn id="36" xr3:uid="{CB1712FD-CD8E-4F6D-8148-DE96C31B471F}" name="J4 (-)" dataDxfId="1419"/>
    <tableColumn id="31" xr3:uid="{664DD904-78E1-48A8-82E7-66D288EDEEE2}" name="J4 TOTAL" dataDxfId="1418">
      <calculatedColumnFormula>Majorette_Solo_AccessoriesSolo_Cadet[[#This Row],[Judge 4
Bernard Barač]]-V2</calculatedColumnFormula>
    </tableColumn>
    <tableColumn id="7" xr3:uid="{B9859693-3E01-40C7-BF46-A9EF43269FEA}" name="J4 (Rank)" dataDxfId="1417">
      <calculatedColumnFormula>COUNTIFS(Majorette_Solo_AccessoriesSolo_Cadet[Age
Division],Majorette_Solo_AccessoriesSolo_Cadet[[#This Row],[Age
Division]],Majorette_Solo_AccessoriesSolo_Cadet[Category],Majorette_Solo_AccessoriesSolo_Cadet[[#This Row],[Category]],Majorette_Solo_AccessoriesSolo_Cadet[J4 TOTAL],"&gt;"&amp;Majorette_Solo_AccessoriesSolo_Cadet[[#This Row],[J4 TOTAL]])+1</calculatedColumnFormula>
    </tableColumn>
    <tableColumn id="12" xr3:uid="{A3D2BBCE-EB5F-457A-A8C0-D3535AC780FE}" name="Judge 5_x000a_Barbara Novina" dataDxfId="1416"/>
    <tableColumn id="11" xr3:uid="{86A00C5B-E350-404A-A889-20D88E63EAEB}" name="J5 (-)" dataDxfId="1415"/>
    <tableColumn id="10" xr3:uid="{1D3E5875-261F-4C48-97CD-94B91B7AFE57}" name="J5 TOTAL" dataDxfId="1414">
      <calculatedColumnFormula>Majorette_Solo_AccessoriesSolo_Cadet[[#This Row],[Judge 5
Barbara Novina]]-Z2</calculatedColumnFormula>
    </tableColumn>
    <tableColumn id="2" xr3:uid="{E818CDFB-B64D-4FBB-BB98-0471AA9C9365}" name="J5 (Rank)" dataDxfId="1413">
      <calculatedColumnFormula>COUNTIFS(Majorette_Solo_AccessoriesSolo_Cadet[Age
Division],Majorette_Solo_AccessoriesSolo_Cadet[[#This Row],[Age
Division]],Majorette_Solo_AccessoriesSolo_Cadet[Category],Majorette_Solo_AccessoriesSolo_Cadet[[#This Row],[Category]],Majorette_Solo_AccessoriesSolo_Cadet[J5 TOTAL],"&gt;"&amp;Majorette_Solo_AccessoriesSolo_Cadet[[#This Row],[J5 TOTAL]])+1</calculatedColumnFormula>
    </tableColumn>
    <tableColumn id="20" xr3:uid="{3A177709-2F1E-44E5-89D0-1DF93277ADCA}" name="Total" dataDxfId="1412">
      <calculatedColumnFormula>SUM(Majorette_Solo_AccessoriesSolo_Cadet[[#This Row],[J1 TOTAL]]+Majorette_Solo_AccessoriesSolo_Cadet[[#This Row],[J2 TOTAL]]+Majorette_Solo_AccessoriesSolo_Cadet[[#This Row],[J3 TOTAL]]+Majorette_Solo_AccessoriesSolo_Cadet[[#This Row],[J4 TOTAL]])+Majorette_Solo_AccessoriesSolo_Cadet[[#This Row],[J5 TOTAL]]</calculatedColumnFormula>
    </tableColumn>
    <tableColumn id="23" xr3:uid="{BF70231D-9C34-4BFA-B8B5-9B7F3D5BBD5B}" name="Low" dataDxfId="1411"/>
    <tableColumn id="19" xr3:uid="{FD3B6194-3996-42C4-8B0D-20AF4E835A14}" name="High" dataDxfId="1410"/>
    <tableColumn id="25" xr3:uid="{DAAB633E-D417-4FFA-89A9-B9C4CACCE9B8}" name="Final Total" dataDxfId="1409">
      <calculatedColumnFormula>SUM(Majorette_Solo_AccessoriesSolo_Cadet[[#This Row],[Total]]-Majorette_Solo_AccessoriesSolo_Cadet[[#This Row],[Low]]-Majorette_Solo_AccessoriesSolo_Cadet[[#This Row],[High]])</calculatedColumnFormula>
    </tableColumn>
    <tableColumn id="24" xr3:uid="{4C90A580-0901-49CB-942D-2688C3C0494C}" name="Avg" dataDxfId="1408">
      <calculatedColumnFormula>AVERAGE(I2,M2,Q2,U2,Y2)</calculatedColumnFormula>
    </tableColumn>
    <tableColumn id="22" xr3:uid="{7A8C8DF6-28F8-402A-9CF0-805B26E5A8FF}" name="FINAL SCORE" dataDxfId="1407">
      <calculatedColumnFormula>Majorette_Solo_AccessoriesSolo_Cadet[[#This Row],[Final Total]]</calculatedColumnFormula>
    </tableColumn>
    <tableColumn id="27" xr3:uid="{FC5D5390-64BC-431B-97D9-1FA96FBE641F}" name="Rank" dataDxfId="1406">
      <calculatedColumnFormula>COUNTIFS(Majorette_Solo_AccessoriesSolo_Cadet[Age
Division],Majorette_Solo_AccessoriesSolo_Cadet[[#This Row],[Age
Division]],Majorette_Solo_AccessoriesSolo_Cadet[Category],Majorette_Solo_AccessoriesSolo_Cadet[[#This Row],[Category]],Majorette_Solo_AccessoriesSolo_Cadet[FINAL SCORE],"&gt;"&amp;Majorette_Solo_AccessoriesSolo_Cadet[[#This Row],[FINAL SCORE]])+1</calculatedColumnFormula>
    </tableColumn>
    <tableColumn id="39" xr3:uid="{6B0D85F8-078C-429C-BD19-5BF60EF635A7}" name="Category Type" dataDxfId="140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87A5EE0-7F2D-4C4C-9BB1-FAC68BD9421C}" name="Majorette_Solo_AccessoriesSolo_Junior" displayName="Majorette_Solo_AccessoriesSolo_Junior" ref="A1:AJ4" totalsRowShown="0" headerRowDxfId="1366" dataDxfId="1365">
  <autoFilter ref="A1:AJ4" xr:uid="{042C9DAD-4CB0-4D2A-8C87-3D9863992DF4}"/>
  <sortState xmlns:xlrd2="http://schemas.microsoft.com/office/spreadsheetml/2017/richdata2" ref="A2:AJ4">
    <sortCondition ref="AI1:AI4"/>
  </sortState>
  <tableColumns count="36">
    <tableColumn id="1" xr3:uid="{28DDDC6F-1462-42B3-89CE-4A2F861BC6B3}" name="Start No." dataDxfId="1402"/>
    <tableColumn id="8" xr3:uid="{25F3D2AD-965B-4013-B645-F7788963F58F}" name="Lane" dataDxfId="1401"/>
    <tableColumn id="9" xr3:uid="{00FBBA43-6DAE-44D9-A235-659AAC4A8CD7}" name="Category" dataDxfId="1400"/>
    <tableColumn id="32" xr3:uid="{A9F93AB6-411B-45F7-83EE-89FB22BB998E}" name="Age_x000a_Division" dataDxfId="1399"/>
    <tableColumn id="40" xr3:uid="{0A3EF883-B362-4FD0-A5E6-EB7BFEB08E2A}" name="Level" dataDxfId="1398"/>
    <tableColumn id="4" xr3:uid="{814DC16F-8D26-4D8F-BFF7-5B51BBCB741C}" name="Athlete" dataDxfId="1397"/>
    <tableColumn id="38" xr3:uid="{B393ED10-36F1-4652-97B9-840098E7C4CF}" name="Club" dataDxfId="1396"/>
    <tableColumn id="37" xr3:uid="{730911E4-F7E7-4492-88B6-453AC54850D4}" name="Country" dataDxfId="1395"/>
    <tableColumn id="15" xr3:uid="{2E859C3A-F927-4F94-B862-3258929E5A89}" name="Judge 1_x000a_Tamara Beljak" dataDxfId="1394"/>
    <tableColumn id="33" xr3:uid="{47585F39-FE34-47E5-B235-5B7A4CD56617}" name="J1 (-)" dataDxfId="1393"/>
    <tableColumn id="26" xr3:uid="{1F90703F-E7FC-4443-B535-CC1693DB48D5}" name="J1 TOTAL" dataDxfId="1392">
      <calculatedColumnFormula>Majorette_Solo_AccessoriesSolo_Junior[[#This Row],[Judge 1
Tamara Beljak]]-J2</calculatedColumnFormula>
    </tableColumn>
    <tableColumn id="3" xr3:uid="{FF605908-07B6-4B81-9FC0-C2DE16D04082}" name="J1 (Rank)" dataDxfId="1391">
      <calculatedColumnFormula>COUNTIFS(Majorette_Solo_AccessoriesSolo_Junior[Age
Division],Majorette_Solo_AccessoriesSolo_Junior[[#This Row],[Age
Division]],Majorette_Solo_AccessoriesSolo_Junior[Category],Majorette_Solo_AccessoriesSolo_Junior[[#This Row],[Category]],Majorette_Solo_AccessoriesSolo_Junior[J1 TOTAL],"&gt;"&amp;Majorette_Solo_AccessoriesSolo_Junior[[#This Row],[J1 TOTAL]])+1</calculatedColumnFormula>
    </tableColumn>
    <tableColumn id="16" xr3:uid="{24A1DA40-D8E7-4438-BA6C-FFF7FAC79626}" name="Judge 2_x000a_Tihomir Bendelja" dataDxfId="1390"/>
    <tableColumn id="34" xr3:uid="{A05B35EF-CCCF-4D3B-94A6-4EE1EA4BE310}" name="J2 (-)" dataDxfId="1389"/>
    <tableColumn id="28" xr3:uid="{7E5F59F3-7341-4A84-A5F1-33CE507AF897}" name="J2 TOTAL" dataDxfId="1388">
      <calculatedColumnFormula>Majorette_Solo_AccessoriesSolo_Junior[[#This Row],[Judge 2
Tihomir Bendelja]]-Majorette_Solo_AccessoriesSolo_Junior[[#This Row],[J2 (-)]]</calculatedColumnFormula>
    </tableColumn>
    <tableColumn id="5" xr3:uid="{1482E4EF-FF77-42E4-A956-B224E6F1781D}" name="J2 (Rank)" dataDxfId="1387">
      <calculatedColumnFormula>COUNTIFS(Majorette_Solo_AccessoriesSolo_Junior[Age
Division],Majorette_Solo_AccessoriesSolo_Junior[[#This Row],[Age
Division]],Majorette_Solo_AccessoriesSolo_Junior[Category],Majorette_Solo_AccessoriesSolo_Junior[[#This Row],[Category]],Majorette_Solo_AccessoriesSolo_Junior[J2 TOTAL],"&gt;"&amp;Majorette_Solo_AccessoriesSolo_Junior[[#This Row],[J2 TOTAL]])+1</calculatedColumnFormula>
    </tableColumn>
    <tableColumn id="17" xr3:uid="{1E067AEF-978C-41E3-ABF7-52F95216011F}" name="Judge 3_x000a_Tea Softić" dataDxfId="1386"/>
    <tableColumn id="35" xr3:uid="{51E84846-33EC-4BCC-A949-9EF57E9A9D8F}" name="J3 (-)" dataDxfId="1385"/>
    <tableColumn id="30" xr3:uid="{7E0145C7-CC0A-4303-B9B7-2BE0C52EB2B9}" name="J3 TOTAL" dataDxfId="1384">
      <calculatedColumnFormula>Majorette_Solo_AccessoriesSolo_Junior[[#This Row],[Judge 3
Tea Softić]]-R2</calculatedColumnFormula>
    </tableColumn>
    <tableColumn id="6" xr3:uid="{46DBCA78-AE12-4229-82EF-3D1AA890A39D}" name="J3 (Rank)" dataDxfId="1383">
      <calculatedColumnFormula>COUNTIFS(Majorette_Solo_AccessoriesSolo_Junior[Age
Division],Majorette_Solo_AccessoriesSolo_Junior[[#This Row],[Age
Division]],Majorette_Solo_AccessoriesSolo_Junior[Category],Majorette_Solo_AccessoriesSolo_Junior[[#This Row],[Category]],Majorette_Solo_AccessoriesSolo_Junior[J3 TOTAL],"&gt;"&amp;Majorette_Solo_AccessoriesSolo_Junior[[#This Row],[J3 TOTAL]])+1</calculatedColumnFormula>
    </tableColumn>
    <tableColumn id="18" xr3:uid="{BF8C7430-39C3-4880-A5DF-0D8D45BF6A1F}" name="Judge 4_x000a_Bernard Barač" dataDxfId="1382"/>
    <tableColumn id="36" xr3:uid="{3EAB4125-CA08-4663-8E6A-0EA8D3866C32}" name="J4 (-)" dataDxfId="1381"/>
    <tableColumn id="31" xr3:uid="{CDA38118-61AB-468C-B715-9C52CD16361F}" name="J4 TOTAL" dataDxfId="1380">
      <calculatedColumnFormula>Majorette_Solo_AccessoriesSolo_Junior[[#This Row],[Judge 4
Bernard Barač]]-V2</calculatedColumnFormula>
    </tableColumn>
    <tableColumn id="7" xr3:uid="{CB507A52-F7F2-4B73-BA60-FA727ED4E866}" name="J4 (Rank)" dataDxfId="1379">
      <calculatedColumnFormula>COUNTIFS(Majorette_Solo_AccessoriesSolo_Junior[Age
Division],Majorette_Solo_AccessoriesSolo_Junior[[#This Row],[Age
Division]],Majorette_Solo_AccessoriesSolo_Junior[Category],Majorette_Solo_AccessoriesSolo_Junior[[#This Row],[Category]],Majorette_Solo_AccessoriesSolo_Junior[J4 TOTAL],"&gt;"&amp;Majorette_Solo_AccessoriesSolo_Junior[[#This Row],[J4 TOTAL]])+1</calculatedColumnFormula>
    </tableColumn>
    <tableColumn id="12" xr3:uid="{127AF1D0-E6CE-433E-AD3C-312DD9D94F26}" name="Judge 5_x000a_Barbara Novina" dataDxfId="1378"/>
    <tableColumn id="11" xr3:uid="{D71BFF8B-CEC4-477C-A056-D9BECF689A6A}" name="J5 (-)" dataDxfId="1377"/>
    <tableColumn id="10" xr3:uid="{7E9BC45B-16C3-4BDD-AE78-7184E0E9ABD1}" name="J5 TOTAL" dataDxfId="1376">
      <calculatedColumnFormula>Majorette_Solo_AccessoriesSolo_Junior[[#This Row],[Judge 5
Barbara Novina]]-Z2</calculatedColumnFormula>
    </tableColumn>
    <tableColumn id="2" xr3:uid="{BC47EAD9-4A28-421A-AB44-A18B74E9848B}" name="J5 (Rank)" dataDxfId="1375">
      <calculatedColumnFormula>COUNTIFS(Majorette_Solo_AccessoriesSolo_Junior[Age
Division],Majorette_Solo_AccessoriesSolo_Junior[[#This Row],[Age
Division]],Majorette_Solo_AccessoriesSolo_Junior[Category],Majorette_Solo_AccessoriesSolo_Junior[[#This Row],[Category]],Majorette_Solo_AccessoriesSolo_Junior[J5 TOTAL],"&gt;"&amp;Majorette_Solo_AccessoriesSolo_Junior[[#This Row],[J5 TOTAL]])+1</calculatedColumnFormula>
    </tableColumn>
    <tableColumn id="20" xr3:uid="{3DF8323A-812C-4497-A050-676609490784}" name="Total" dataDxfId="1374">
      <calculatedColumnFormula>SUM(Majorette_Solo_AccessoriesSolo_Junior[[#This Row],[J1 TOTAL]]+Majorette_Solo_AccessoriesSolo_Junior[[#This Row],[J2 TOTAL]]+Majorette_Solo_AccessoriesSolo_Junior[[#This Row],[J3 TOTAL]]+Majorette_Solo_AccessoriesSolo_Junior[[#This Row],[J4 TOTAL]])+Majorette_Solo_AccessoriesSolo_Junior[[#This Row],[J5 TOTAL]]</calculatedColumnFormula>
    </tableColumn>
    <tableColumn id="23" xr3:uid="{BDE0463A-4C0B-4F1A-8119-846BB42B3DDC}" name="Low" dataDxfId="1373"/>
    <tableColumn id="19" xr3:uid="{BD9AEA45-BF65-4355-9FCA-5C6F027E8EFD}" name="High" dataDxfId="1372"/>
    <tableColumn id="25" xr3:uid="{9C200881-60E5-47FC-89EC-EC245D78DDA5}" name="Final Total" dataDxfId="1371">
      <calculatedColumnFormula>SUM(Majorette_Solo_AccessoriesSolo_Junior[[#This Row],[Total]]-Majorette_Solo_AccessoriesSolo_Junior[[#This Row],[Low]]-Majorette_Solo_AccessoriesSolo_Junior[[#This Row],[High]])</calculatedColumnFormula>
    </tableColumn>
    <tableColumn id="24" xr3:uid="{7C5B4096-B858-4E7E-A348-F9BA949D4CBB}" name="Avg" dataDxfId="1370">
      <calculatedColumnFormula>AVERAGE(I2,M2,Q2,U2,Y2)</calculatedColumnFormula>
    </tableColumn>
    <tableColumn id="22" xr3:uid="{08178681-918F-49FC-92DF-D04981CB5C18}" name="FINAL SCORE" dataDxfId="1369">
      <calculatedColumnFormula>Majorette_Solo_AccessoriesSolo_Junior[[#This Row],[Final Total]]</calculatedColumnFormula>
    </tableColumn>
    <tableColumn id="27" xr3:uid="{B4DF77DF-35C8-4BDA-BD28-5F71EFA2ABB4}" name="Rank" dataDxfId="1368">
      <calculatedColumnFormula>COUNTIFS(Majorette_Solo_AccessoriesSolo_Junior[Age
Division],Majorette_Solo_AccessoriesSolo_Junior[[#This Row],[Age
Division]],Majorette_Solo_AccessoriesSolo_Junior[Category],Majorette_Solo_AccessoriesSolo_Junior[[#This Row],[Category]],Majorette_Solo_AccessoriesSolo_Junior[FINAL SCORE],"&gt;"&amp;Majorette_Solo_AccessoriesSolo_Junior[[#This Row],[FINAL SCORE]])+1</calculatedColumnFormula>
    </tableColumn>
    <tableColumn id="39" xr3:uid="{C528C5FD-7676-4A08-A04A-11FDD5701F95}" name="Category Type" dataDxfId="136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3588884-2047-49B2-9E01-48C62E5E28B3}" name="Majorette_Solo_PomponSolo_Children" displayName="Majorette_Solo_PomponSolo_Children" ref="A1:AJ2" totalsRowShown="0" headerRowDxfId="1328" dataDxfId="1327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309D0E10-1D52-4C82-9BB2-04E5D6200672}" name="Start No." dataDxfId="1364"/>
    <tableColumn id="8" xr3:uid="{1F9DA1EF-EA56-431D-ADAD-D8425996D21E}" name="Lane" dataDxfId="1363"/>
    <tableColumn id="9" xr3:uid="{BFFEB8D7-180F-451B-8964-10710F836B04}" name="Category" dataDxfId="1362"/>
    <tableColumn id="32" xr3:uid="{ABF541A6-EBC2-4E5D-AFE8-C5DA2957E9FC}" name="Age_x000a_Division" dataDxfId="1361"/>
    <tableColumn id="40" xr3:uid="{79689BD0-5B5A-4C83-A9F5-4F66BA55EFC8}" name="Level" dataDxfId="1360"/>
    <tableColumn id="4" xr3:uid="{EFBB4F68-6BA0-4939-BCD7-71595D98AD02}" name="Athlete" dataDxfId="1359"/>
    <tableColumn id="38" xr3:uid="{63E8877C-9A1B-42C4-A4C2-94A967D625E0}" name="Club" dataDxfId="1358"/>
    <tableColumn id="37" xr3:uid="{D95CF278-D7BF-45BB-B4DE-51D483498739}" name="Country" dataDxfId="1357"/>
    <tableColumn id="15" xr3:uid="{4E47EE82-F463-4C90-91CA-4583A78DF710}" name="Judge 1_x000a_Tamara Beljak" dataDxfId="1356"/>
    <tableColumn id="33" xr3:uid="{C047675C-D022-49DA-A861-1F3C262F2ADD}" name="J1 (-)" dataDxfId="1355"/>
    <tableColumn id="26" xr3:uid="{54D0A237-BDA9-4BF2-9846-5380567CB089}" name="J1 TOTAL" dataDxfId="1354">
      <calculatedColumnFormula>Majorette_Solo_PomponSolo_Children[[#This Row],[Judge 1
Tamara Beljak]]-J2</calculatedColumnFormula>
    </tableColumn>
    <tableColumn id="3" xr3:uid="{C7F548E8-E182-474F-8373-2049D1448FE7}" name="J1 (Rank)" dataDxfId="1353">
      <calculatedColumnFormula>COUNTIFS(Majorette_Solo_PomponSolo_Children[Age
Division],Majorette_Solo_PomponSolo_Children[[#This Row],[Age
Division]],Majorette_Solo_PomponSolo_Children[Category],Majorette_Solo_PomponSolo_Children[[#This Row],[Category]],Majorette_Solo_PomponSolo_Children[J1 TOTAL],"&gt;"&amp;Majorette_Solo_PomponSolo_Children[[#This Row],[J1 TOTAL]])+1</calculatedColumnFormula>
    </tableColumn>
    <tableColumn id="16" xr3:uid="{4AA4EB3A-C0C7-46E8-9A34-F0D05A2569EE}" name="Judge 2_x000a_Tihomir Bendelja" dataDxfId="1352"/>
    <tableColumn id="34" xr3:uid="{CB38F1F2-7710-4BF2-A9C5-BA475DB41066}" name="J2 (-)" dataDxfId="1351"/>
    <tableColumn id="28" xr3:uid="{DC52530D-0B7C-469B-8202-B23F42AF3BF8}" name="J2 TOTAL" dataDxfId="1350">
      <calculatedColumnFormula>Majorette_Solo_PomponSolo_Children[[#This Row],[Judge 2
Tihomir Bendelja]]-Majorette_Solo_PomponSolo_Children[[#This Row],[J2 (-)]]</calculatedColumnFormula>
    </tableColumn>
    <tableColumn id="5" xr3:uid="{6D76A862-16AD-433E-A11C-1DDA63FF48E7}" name="J2 (Rank)" dataDxfId="1349">
      <calculatedColumnFormula>COUNTIFS(Majorette_Solo_PomponSolo_Children[Age
Division],Majorette_Solo_PomponSolo_Children[[#This Row],[Age
Division]],Majorette_Solo_PomponSolo_Children[Category],Majorette_Solo_PomponSolo_Children[[#This Row],[Category]],Majorette_Solo_PomponSolo_Children[J2 TOTAL],"&gt;"&amp;Majorette_Solo_PomponSolo_Children[[#This Row],[J2 TOTAL]])+1</calculatedColumnFormula>
    </tableColumn>
    <tableColumn id="17" xr3:uid="{9BEEC8CA-2C56-49A7-8EE8-8B1053713478}" name="Judge 3_x000a_Tea Softić" dataDxfId="1348"/>
    <tableColumn id="35" xr3:uid="{D244C313-AF42-4950-AB64-AF3741064DA4}" name="J3 (-)" dataDxfId="1347"/>
    <tableColumn id="30" xr3:uid="{B2605BCD-591E-43FD-A065-8B08401CC45B}" name="J3 TOTAL" dataDxfId="1346">
      <calculatedColumnFormula>Majorette_Solo_PomponSolo_Children[[#This Row],[Judge 3
Tea Softić]]-R2</calculatedColumnFormula>
    </tableColumn>
    <tableColumn id="6" xr3:uid="{E431D21F-30F8-4FE8-B9DC-26D8A0667CE7}" name="J3 (Rank)" dataDxfId="1345">
      <calculatedColumnFormula>COUNTIFS(Majorette_Solo_PomponSolo_Children[Age
Division],Majorette_Solo_PomponSolo_Children[[#This Row],[Age
Division]],Majorette_Solo_PomponSolo_Children[Category],Majorette_Solo_PomponSolo_Children[[#This Row],[Category]],Majorette_Solo_PomponSolo_Children[J3 TOTAL],"&gt;"&amp;Majorette_Solo_PomponSolo_Children[[#This Row],[J3 TOTAL]])+1</calculatedColumnFormula>
    </tableColumn>
    <tableColumn id="18" xr3:uid="{AACCCF70-6CA2-498C-86AB-DF16117B4D66}" name="Judge 4_x000a_Bernard Barač" dataDxfId="1344"/>
    <tableColumn id="36" xr3:uid="{4A354FF2-886A-4B33-8448-755667A72470}" name="J4 (-)" dataDxfId="1343"/>
    <tableColumn id="31" xr3:uid="{803A62E0-10AA-45AF-A32D-02FC812D1948}" name="J4 TOTAL" dataDxfId="1342">
      <calculatedColumnFormula>Majorette_Solo_PomponSolo_Children[[#This Row],[Judge 4
Bernard Barač]]-V2</calculatedColumnFormula>
    </tableColumn>
    <tableColumn id="7" xr3:uid="{8897B4F5-209A-410D-852A-C3003FF696EA}" name="J4 (Rank)" dataDxfId="1341">
      <calculatedColumnFormula>COUNTIFS(Majorette_Solo_PomponSolo_Children[Age
Division],Majorette_Solo_PomponSolo_Children[[#This Row],[Age
Division]],Majorette_Solo_PomponSolo_Children[Category],Majorette_Solo_PomponSolo_Children[[#This Row],[Category]],Majorette_Solo_PomponSolo_Children[J4 TOTAL],"&gt;"&amp;Majorette_Solo_PomponSolo_Children[[#This Row],[J4 TOTAL]])+1</calculatedColumnFormula>
    </tableColumn>
    <tableColumn id="12" xr3:uid="{5047719E-6D61-42F3-8200-8EB7ABBB4689}" name="Judge 5_x000a_Barbara Novina" dataDxfId="1340"/>
    <tableColumn id="11" xr3:uid="{FA86EA42-4C36-4BA4-87D9-7D67D4163CC1}" name="J5 (-)" dataDxfId="1339"/>
    <tableColumn id="10" xr3:uid="{6BFF4DDA-8846-4BEA-A99B-71B00F99BB02}" name="J5 TOTAL" dataDxfId="1338">
      <calculatedColumnFormula>Majorette_Solo_PomponSolo_Children[[#This Row],[Judge 5
Barbara Novina]]-Z2</calculatedColumnFormula>
    </tableColumn>
    <tableColumn id="2" xr3:uid="{B8BF4278-F177-46DA-866A-B1584CE320E5}" name="J5 (Rank)" dataDxfId="1337">
      <calculatedColumnFormula>COUNTIFS(Majorette_Solo_PomponSolo_Children[Age
Division],Majorette_Solo_PomponSolo_Children[[#This Row],[Age
Division]],Majorette_Solo_PomponSolo_Children[Category],Majorette_Solo_PomponSolo_Children[[#This Row],[Category]],Majorette_Solo_PomponSolo_Children[J5 TOTAL],"&gt;"&amp;Majorette_Solo_PomponSolo_Children[[#This Row],[J5 TOTAL]])+1</calculatedColumnFormula>
    </tableColumn>
    <tableColumn id="20" xr3:uid="{57D83FE1-C737-4DA9-A069-3A7918090B4F}" name="Total" dataDxfId="1336">
      <calculatedColumnFormula>SUM(Majorette_Solo_PomponSolo_Children[[#This Row],[J1 TOTAL]]+Majorette_Solo_PomponSolo_Children[[#This Row],[J2 TOTAL]]+Majorette_Solo_PomponSolo_Children[[#This Row],[J3 TOTAL]]+Majorette_Solo_PomponSolo_Children[[#This Row],[J4 TOTAL]])+Majorette_Solo_PomponSolo_Children[[#This Row],[J5 TOTAL]]</calculatedColumnFormula>
    </tableColumn>
    <tableColumn id="23" xr3:uid="{BB826C74-4349-444C-AD47-8DC7461B1485}" name="Low" dataDxfId="1335"/>
    <tableColumn id="19" xr3:uid="{867DBF49-17DD-4ACE-B656-354D04FC29ED}" name="High" dataDxfId="1334"/>
    <tableColumn id="25" xr3:uid="{DD2FB066-DE26-4CC4-9851-56896E862F25}" name="Final Total" dataDxfId="1333">
      <calculatedColumnFormula>SUM(Majorette_Solo_PomponSolo_Children[[#This Row],[Total]]-Majorette_Solo_PomponSolo_Children[[#This Row],[Low]]-Majorette_Solo_PomponSolo_Children[[#This Row],[High]])</calculatedColumnFormula>
    </tableColumn>
    <tableColumn id="24" xr3:uid="{EB6D726A-0BDD-4FA9-9452-31301F397D29}" name="Avg" dataDxfId="1332">
      <calculatedColumnFormula>AVERAGE(I2,M2,Q2,U2,Y2)</calculatedColumnFormula>
    </tableColumn>
    <tableColumn id="22" xr3:uid="{D9E2FFA7-BA54-410F-A00B-10FDF62B0D5E}" name="FINAL SCORE" dataDxfId="1331">
      <calculatedColumnFormula>Majorette_Solo_PomponSolo_Children[[#This Row],[Final Total]]</calculatedColumnFormula>
    </tableColumn>
    <tableColumn id="27" xr3:uid="{BAAF666D-0C34-49B5-98A3-23978B7A8053}" name="Rank" dataDxfId="1330">
      <calculatedColumnFormula>COUNTIFS(Majorette_Solo_PomponSolo_Children[Age
Division],Majorette_Solo_PomponSolo_Children[[#This Row],[Age
Division]],Majorette_Solo_PomponSolo_Children[Category],Majorette_Solo_PomponSolo_Children[[#This Row],[Category]],Majorette_Solo_PomponSolo_Children[FINAL SCORE],"&gt;"&amp;Majorette_Solo_PomponSolo_Children[[#This Row],[FINAL SCORE]])+1</calculatedColumnFormula>
    </tableColumn>
    <tableColumn id="39" xr3:uid="{4A892193-31C7-441C-87FC-62B591A7688D}" name="Category Type" dataDxfId="132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53D4754-DC70-4CEE-B131-857D4AC53544}" name="Majorette_Solo_PomponSolo_Cadet" displayName="Majorette_Solo_PomponSolo_Cadet" ref="A1:AJ2" totalsRowShown="0" headerRowDxfId="1290" dataDxfId="1289">
  <autoFilter ref="A1:AJ2" xr:uid="{042C9DAD-4CB0-4D2A-8C87-3D9863992DF4}"/>
  <sortState xmlns:xlrd2="http://schemas.microsoft.com/office/spreadsheetml/2017/richdata2" ref="A2:AJ2">
    <sortCondition ref="AI1:AI2"/>
  </sortState>
  <tableColumns count="36">
    <tableColumn id="1" xr3:uid="{2DB870E5-060B-4C4A-B609-7B82E02C09BE}" name="Start No." dataDxfId="1326"/>
    <tableColumn id="8" xr3:uid="{E835E121-CA1A-4BD9-A83A-6B10B42C4169}" name="Lane" dataDxfId="1325"/>
    <tableColumn id="9" xr3:uid="{0DE13997-DD55-4B8E-9D71-64C0E145D60D}" name="Category" dataDxfId="1324"/>
    <tableColumn id="32" xr3:uid="{68CE68E1-16FE-4781-BC8A-2DFABBD7C67E}" name="Age_x000a_Division" dataDxfId="1323"/>
    <tableColumn id="40" xr3:uid="{FA04BE51-91A4-43A3-AAB6-6F5E6EF7F689}" name="Level" dataDxfId="1322"/>
    <tableColumn id="4" xr3:uid="{634D3B20-D42C-4F19-A75B-F8F97BB5EF54}" name="Athlete" dataDxfId="1321"/>
    <tableColumn id="38" xr3:uid="{1038BD34-5274-480F-A2A9-D3BD4B6B7FFC}" name="Club" dataDxfId="1320"/>
    <tableColumn id="37" xr3:uid="{DD9DCBF1-6BF1-4A13-B193-E72830B28E50}" name="Country" dataDxfId="1319"/>
    <tableColumn id="15" xr3:uid="{2EE8DE6F-0C1C-46BC-B21C-9C5F404E6448}" name="Judge 1_x000a_Tamara Beljak" dataDxfId="1318"/>
    <tableColumn id="33" xr3:uid="{3C7E7A27-C403-46BD-912B-A95826B2585B}" name="J1 (-)" dataDxfId="1317"/>
    <tableColumn id="26" xr3:uid="{C5BEF3A2-6E37-439A-AC94-CFDB2AB1F2AC}" name="J1 TOTAL" dataDxfId="1316">
      <calculatedColumnFormula>Majorette_Solo_PomponSolo_Cadet[[#This Row],[Judge 1
Tamara Beljak]]-J2</calculatedColumnFormula>
    </tableColumn>
    <tableColumn id="3" xr3:uid="{8E96AA41-CB98-4539-BE7B-3A0CD8E42DB4}" name="J1 (Rank)" dataDxfId="1315">
      <calculatedColumnFormula>COUNTIFS(Majorette_Solo_PomponSolo_Cadet[Age
Division],Majorette_Solo_PomponSolo_Cadet[[#This Row],[Age
Division]],Majorette_Solo_PomponSolo_Cadet[Category],Majorette_Solo_PomponSolo_Cadet[[#This Row],[Category]],Majorette_Solo_PomponSolo_Cadet[J1 TOTAL],"&gt;"&amp;Majorette_Solo_PomponSolo_Cadet[[#This Row],[J1 TOTAL]])+1</calculatedColumnFormula>
    </tableColumn>
    <tableColumn id="16" xr3:uid="{C9D44B3C-38D5-4B67-81F0-6511CF5D1DFC}" name="Judge 2_x000a_Tihomir Bendelja" dataDxfId="1314"/>
    <tableColumn id="34" xr3:uid="{6E2748DE-FD01-43F8-A2E0-2FB9574F1738}" name="J2 (-)" dataDxfId="1313"/>
    <tableColumn id="28" xr3:uid="{4CBC3052-8E36-4212-9485-FF25E6DCA474}" name="J2 TOTAL" dataDxfId="1312">
      <calculatedColumnFormula>Majorette_Solo_PomponSolo_Cadet[[#This Row],[Judge 2
Tihomir Bendelja]]-Majorette_Solo_PomponSolo_Cadet[[#This Row],[J2 (-)]]</calculatedColumnFormula>
    </tableColumn>
    <tableColumn id="5" xr3:uid="{537F984A-E3E3-4CAB-AD28-BF0D5E9780D6}" name="J2 (Rank)" dataDxfId="1311">
      <calculatedColumnFormula>COUNTIFS(Majorette_Solo_PomponSolo_Cadet[Age
Division],Majorette_Solo_PomponSolo_Cadet[[#This Row],[Age
Division]],Majorette_Solo_PomponSolo_Cadet[Category],Majorette_Solo_PomponSolo_Cadet[[#This Row],[Category]],Majorette_Solo_PomponSolo_Cadet[J2 TOTAL],"&gt;"&amp;Majorette_Solo_PomponSolo_Cadet[[#This Row],[J2 TOTAL]])+1</calculatedColumnFormula>
    </tableColumn>
    <tableColumn id="17" xr3:uid="{ACE18172-F098-4531-88D8-0E86748C9A8C}" name="Judge 3_x000a_Tea Softić" dataDxfId="1310"/>
    <tableColumn id="35" xr3:uid="{80DAA9E4-E654-40E8-8ABC-461CF3494D0B}" name="J3 (-)" dataDxfId="1309"/>
    <tableColumn id="30" xr3:uid="{5B4C2E39-FE74-417C-8660-D53B441E748E}" name="J3 TOTAL" dataDxfId="1308">
      <calculatedColumnFormula>Majorette_Solo_PomponSolo_Cadet[[#This Row],[Judge 3
Tea Softić]]-R2</calculatedColumnFormula>
    </tableColumn>
    <tableColumn id="6" xr3:uid="{FA0A0063-A1C8-47E1-935A-3F3A8A0C7DD6}" name="J3 (Rank)" dataDxfId="1307">
      <calculatedColumnFormula>COUNTIFS(Majorette_Solo_PomponSolo_Cadet[Age
Division],Majorette_Solo_PomponSolo_Cadet[[#This Row],[Age
Division]],Majorette_Solo_PomponSolo_Cadet[Category],Majorette_Solo_PomponSolo_Cadet[[#This Row],[Category]],Majorette_Solo_PomponSolo_Cadet[J3 TOTAL],"&gt;"&amp;Majorette_Solo_PomponSolo_Cadet[[#This Row],[J3 TOTAL]])+1</calculatedColumnFormula>
    </tableColumn>
    <tableColumn id="18" xr3:uid="{4677F4F4-0331-4C1A-8424-78D7A8150F72}" name="Judge 4_x000a_Bernard Barač" dataDxfId="1306"/>
    <tableColumn id="36" xr3:uid="{43AE47F4-8E81-4CCC-87C6-804DEBB3BB80}" name="J4 (-)" dataDxfId="1305"/>
    <tableColumn id="31" xr3:uid="{25FDD04C-0192-4358-BF02-86443BFF1158}" name="J4 TOTAL" dataDxfId="1304">
      <calculatedColumnFormula>Majorette_Solo_PomponSolo_Cadet[[#This Row],[Judge 4
Bernard Barač]]-V2</calculatedColumnFormula>
    </tableColumn>
    <tableColumn id="7" xr3:uid="{8A086411-4FA9-4291-94A0-60226055EF39}" name="J4 (Rank)" dataDxfId="1303">
      <calculatedColumnFormula>COUNTIFS(Majorette_Solo_PomponSolo_Cadet[Age
Division],Majorette_Solo_PomponSolo_Cadet[[#This Row],[Age
Division]],Majorette_Solo_PomponSolo_Cadet[Category],Majorette_Solo_PomponSolo_Cadet[[#This Row],[Category]],Majorette_Solo_PomponSolo_Cadet[J4 TOTAL],"&gt;"&amp;Majorette_Solo_PomponSolo_Cadet[[#This Row],[J4 TOTAL]])+1</calculatedColumnFormula>
    </tableColumn>
    <tableColumn id="12" xr3:uid="{355DA20F-D5E6-4C0D-A17E-A59E9ADACC76}" name="Judge 5_x000a_Barbara Novina" dataDxfId="1302"/>
    <tableColumn id="11" xr3:uid="{BBBBF8D9-7F92-4C07-9E2F-E398BF66586E}" name="J5 (-)" dataDxfId="1301"/>
    <tableColumn id="10" xr3:uid="{E74D7AFC-A62E-4A5D-8FBB-51054400A6C6}" name="J5 TOTAL" dataDxfId="1300">
      <calculatedColumnFormula>Majorette_Solo_PomponSolo_Cadet[[#This Row],[Judge 5
Barbara Novina]]-Z2</calculatedColumnFormula>
    </tableColumn>
    <tableColumn id="2" xr3:uid="{A3448BF6-211D-426C-B6AE-BDE7E1D44736}" name="J5 (Rank)" dataDxfId="1299">
      <calculatedColumnFormula>COUNTIFS(Majorette_Solo_PomponSolo_Cadet[Age
Division],Majorette_Solo_PomponSolo_Cadet[[#This Row],[Age
Division]],Majorette_Solo_PomponSolo_Cadet[Category],Majorette_Solo_PomponSolo_Cadet[[#This Row],[Category]],Majorette_Solo_PomponSolo_Cadet[J5 TOTAL],"&gt;"&amp;Majorette_Solo_PomponSolo_Cadet[[#This Row],[J5 TOTAL]])+1</calculatedColumnFormula>
    </tableColumn>
    <tableColumn id="20" xr3:uid="{C26D7248-34C7-43CE-9325-CA3627945D1F}" name="Total" dataDxfId="1298">
      <calculatedColumnFormula>SUM(Majorette_Solo_PomponSolo_Cadet[[#This Row],[J1 TOTAL]]+Majorette_Solo_PomponSolo_Cadet[[#This Row],[J2 TOTAL]]+Majorette_Solo_PomponSolo_Cadet[[#This Row],[J3 TOTAL]]+Majorette_Solo_PomponSolo_Cadet[[#This Row],[J4 TOTAL]])+Majorette_Solo_PomponSolo_Cadet[[#This Row],[J5 TOTAL]]</calculatedColumnFormula>
    </tableColumn>
    <tableColumn id="23" xr3:uid="{422D4F28-BCEE-4844-95F2-EFC71F578841}" name="Low" dataDxfId="1297"/>
    <tableColumn id="19" xr3:uid="{B98812B0-D933-44C5-B542-97DF779BFBF5}" name="High" dataDxfId="1296"/>
    <tableColumn id="25" xr3:uid="{426B771C-5F60-43B6-B155-D01E090A2F42}" name="Final Total" dataDxfId="1295">
      <calculatedColumnFormula>SUM(Majorette_Solo_PomponSolo_Cadet[[#This Row],[Total]]-Majorette_Solo_PomponSolo_Cadet[[#This Row],[Low]]-Majorette_Solo_PomponSolo_Cadet[[#This Row],[High]])</calculatedColumnFormula>
    </tableColumn>
    <tableColumn id="24" xr3:uid="{A8B5C271-EBFF-4D20-BE6C-664F353C1F23}" name="Avg" dataDxfId="1294">
      <calculatedColumnFormula>AVERAGE(I2,M2,Q2,U2,Y2)</calculatedColumnFormula>
    </tableColumn>
    <tableColumn id="22" xr3:uid="{B6426421-DB4E-403F-91F8-78F9CAA515C6}" name="FINAL SCORE" dataDxfId="1293">
      <calculatedColumnFormula>Majorette_Solo_PomponSolo_Cadet[[#This Row],[Final Total]]</calculatedColumnFormula>
    </tableColumn>
    <tableColumn id="27" xr3:uid="{72483450-44E1-4248-ACF3-3CB740028CCD}" name="Rank" dataDxfId="1292">
      <calculatedColumnFormula>COUNTIFS(Majorette_Solo_PomponSolo_Cadet[Age
Division],Majorette_Solo_PomponSolo_Cadet[[#This Row],[Age
Division]],Majorette_Solo_PomponSolo_Cadet[Category],Majorette_Solo_PomponSolo_Cadet[[#This Row],[Category]],Majorette_Solo_PomponSolo_Cadet[FINAL SCORE],"&gt;"&amp;Majorette_Solo_PomponSolo_Cadet[[#This Row],[FINAL SCORE]])+1</calculatedColumnFormula>
    </tableColumn>
    <tableColumn id="39" xr3:uid="{057E281F-53B1-4AB2-9784-E1D3F0F8C5F5}" name="Category Type" dataDxfId="129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D20D4-59B8-4B53-B6FC-358B48958DE0}">
  <sheetPr codeName="Sheet1"/>
  <dimension ref="A1:BC5"/>
  <sheetViews>
    <sheetView tabSelected="1" zoomScale="80" zoomScaleNormal="80" workbookViewId="0">
      <pane xSplit="8" topLeftCell="I1" activePane="topRight" state="frozen"/>
      <selection activeCell="G2" sqref="G2"/>
      <selection pane="topRight" activeCell="I2" sqref="I2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3.6640625" style="29" customWidth="1"/>
    <col min="4" max="4" width="11.44140625" style="30" customWidth="1"/>
    <col min="5" max="5" width="16.33203125" style="30" hidden="1" customWidth="1"/>
    <col min="6" max="6" width="15.5546875" style="19" customWidth="1"/>
    <col min="7" max="7" width="46" style="19" customWidth="1"/>
    <col min="8" max="8" width="10.21875" style="19" customWidth="1"/>
    <col min="9" max="12" width="9.109375" style="19" customWidth="1"/>
    <col min="13" max="16" width="9.109375" style="19" hidden="1" customWidth="1"/>
    <col min="17" max="20" width="9.109375" style="19" customWidth="1"/>
    <col min="21" max="28" width="9.109375" style="19" hidden="1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34</v>
      </c>
      <c r="B2" s="17">
        <v>1</v>
      </c>
      <c r="C2" s="17" t="s">
        <v>53</v>
      </c>
      <c r="D2" s="17" t="s">
        <v>30</v>
      </c>
      <c r="E2" s="18"/>
      <c r="F2" s="17" t="s">
        <v>59</v>
      </c>
      <c r="G2" s="17" t="s">
        <v>60</v>
      </c>
      <c r="H2" s="19" t="s">
        <v>25</v>
      </c>
      <c r="I2" s="20">
        <v>20.7</v>
      </c>
      <c r="J2" s="21">
        <v>0</v>
      </c>
      <c r="K2" s="22">
        <f>Majorette_Solo_MajoretteSolo_Children[[#This Row],[Judge 1
Tamara Beljak]]-J2</f>
        <v>20.7</v>
      </c>
      <c r="L2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Row],[Category]],Majorette_Solo_MajoretteSolo_Children[J1 TOTAL],"&gt;"&amp;Majorette_Solo_MajoretteSolo_Children[[#This Row],[J1 TOTAL]])+1</f>
        <v>1</v>
      </c>
      <c r="M2" s="20"/>
      <c r="N2" s="21"/>
      <c r="O2" s="22">
        <f>Majorette_Solo_MajoretteSolo_Children[[#This Row],[Judge 2
Tihomir Bendelja]]-Majorette_Solo_MajoretteSolo_Children[[#This Row],[J2 (-)]]</f>
        <v>0</v>
      </c>
      <c r="P2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Row],[Category]],Majorette_Solo_MajoretteSolo_Children[J2 TOTAL],"&gt;"&amp;Majorette_Solo_MajoretteSolo_Children[[#This Row],[J2 TOTAL]])+1</f>
        <v>1</v>
      </c>
      <c r="Q2" s="20">
        <v>15.6</v>
      </c>
      <c r="R2" s="21">
        <v>0</v>
      </c>
      <c r="S2" s="22">
        <f>Majorette_Solo_MajoretteSolo_Children[[#This Row],[Judge 3
Tea Softić]]-R2</f>
        <v>15.6</v>
      </c>
      <c r="T2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Row],[Category]],Majorette_Solo_MajoretteSolo_Children[J3 TOTAL],"&gt;"&amp;Majorette_Solo_MajoretteSolo_Children[[#This Row],[J3 TOTAL]])+1</f>
        <v>1</v>
      </c>
      <c r="U2" s="20"/>
      <c r="V2" s="21"/>
      <c r="W2" s="22">
        <f>Majorette_Solo_MajoretteSolo_Children[[#This Row],[Judge 4
Bernard Barač]]-V2</f>
        <v>0</v>
      </c>
      <c r="X2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Row],[Category]],Majorette_Solo_MajoretteSolo_Children[J4 TOTAL],"&gt;"&amp;Majorette_Solo_MajoretteSolo_Children[[#This Row],[J4 TOTAL]])+1</f>
        <v>1</v>
      </c>
      <c r="Y2" s="20"/>
      <c r="Z2" s="21"/>
      <c r="AA2" s="22">
        <f>Majorette_Solo_MajoretteSolo_Children[[#This Row],[Judge 5
Barbara Novina]]-Z2</f>
        <v>0</v>
      </c>
      <c r="AB2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Row],[Category]],Majorette_Solo_MajoretteSolo_Children[J5 TOTAL],"&gt;"&amp;Majorette_Solo_MajoretteSolo_Children[[#This Row],[J5 TOTAL]])+1</f>
        <v>1</v>
      </c>
      <c r="AC2" s="24">
        <f>SUM(Majorette_Solo_MajoretteSolo_Children[[#This Row],[J1 TOTAL]]+Majorette_Solo_MajoretteSolo_Children[[#This Row],[J2 TOTAL]]+Majorette_Solo_MajoretteSolo_Children[[#This Row],[J3 TOTAL]]+Majorette_Solo_MajoretteSolo_Children[[#This Row],[J4 TOTAL]])+Majorette_Solo_MajoretteSolo_Children[[#This Row],[J5 TOTAL]]</f>
        <v>36.299999999999997</v>
      </c>
      <c r="AD2" s="24"/>
      <c r="AE2" s="24"/>
      <c r="AF2" s="24">
        <f>SUM(Majorette_Solo_MajoretteSolo_Children[[#This Row],[Total]]-Majorette_Solo_MajoretteSolo_Children[[#This Row],[Low]]-Majorette_Solo_MajoretteSolo_Children[[#This Row],[High]])</f>
        <v>36.299999999999997</v>
      </c>
      <c r="AG2" s="24">
        <f>AVERAGE(I2,M2,Q2,U2,Y2)</f>
        <v>18.149999999999999</v>
      </c>
      <c r="AH2" s="25">
        <f>Majorette_Solo_MajoretteSolo_Children[[#This Row],[Final Total]]</f>
        <v>36.299999999999997</v>
      </c>
      <c r="AI2" s="26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Row],[Category]],Majorette_Solo_MajoretteSolo_Children[FINAL SCORE],"&gt;"&amp;Majorette_Solo_MajoretteSolo_Children[[#This Row],[FINAL SCORE]])+1</f>
        <v>1</v>
      </c>
      <c r="AJ2" s="16" t="s">
        <v>33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30</v>
      </c>
      <c r="B3" s="17">
        <v>1</v>
      </c>
      <c r="C3" s="17" t="s">
        <v>53</v>
      </c>
      <c r="D3" s="17" t="s">
        <v>30</v>
      </c>
      <c r="E3" s="17"/>
      <c r="F3" s="17" t="s">
        <v>56</v>
      </c>
      <c r="G3" s="27" t="s">
        <v>57</v>
      </c>
      <c r="H3" s="19" t="s">
        <v>25</v>
      </c>
      <c r="I3" s="20">
        <v>18.5</v>
      </c>
      <c r="J3" s="21">
        <v>0</v>
      </c>
      <c r="K3" s="22">
        <f>Majorette_Solo_MajoretteSolo_Children[[#This Row],[Judge 1
Tamara Beljak]]-J3</f>
        <v>18.5</v>
      </c>
      <c r="L3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Row],[Category]],Majorette_Solo_MajoretteSolo_Children[J1 TOTAL],"&gt;"&amp;Majorette_Solo_MajoretteSolo_Children[[#This Row],[J1 TOTAL]])+1</f>
        <v>2</v>
      </c>
      <c r="M3" s="20"/>
      <c r="N3" s="21"/>
      <c r="O3" s="22">
        <f>Majorette_Solo_MajoretteSolo_Children[[#This Row],[Judge 2
Tihomir Bendelja]]-Majorette_Solo_MajoretteSolo_Children[[#This Row],[J2 (-)]]</f>
        <v>0</v>
      </c>
      <c r="P3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Row],[Category]],Majorette_Solo_MajoretteSolo_Children[J2 TOTAL],"&gt;"&amp;Majorette_Solo_MajoretteSolo_Children[[#This Row],[J2 TOTAL]])+1</f>
        <v>1</v>
      </c>
      <c r="Q3" s="20">
        <v>13.5</v>
      </c>
      <c r="R3" s="21">
        <v>0</v>
      </c>
      <c r="S3" s="22">
        <f>Majorette_Solo_MajoretteSolo_Children[[#This Row],[Judge 3
Tea Softić]]-R3</f>
        <v>13.5</v>
      </c>
      <c r="T3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Row],[Category]],Majorette_Solo_MajoretteSolo_Children[J3 TOTAL],"&gt;"&amp;Majorette_Solo_MajoretteSolo_Children[[#This Row],[J3 TOTAL]])+1</f>
        <v>2</v>
      </c>
      <c r="U3" s="20"/>
      <c r="V3" s="21"/>
      <c r="W3" s="22">
        <f>Majorette_Solo_MajoretteSolo_Children[[#This Row],[Judge 4
Bernard Barač]]-V3</f>
        <v>0</v>
      </c>
      <c r="X3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Row],[Category]],Majorette_Solo_MajoretteSolo_Children[J4 TOTAL],"&gt;"&amp;Majorette_Solo_MajoretteSolo_Children[[#This Row],[J4 TOTAL]])+1</f>
        <v>1</v>
      </c>
      <c r="Y3" s="20"/>
      <c r="Z3" s="21"/>
      <c r="AA3" s="22">
        <f>Majorette_Solo_MajoretteSolo_Children[[#This Row],[Judge 5
Barbara Novina]]-Z3</f>
        <v>0</v>
      </c>
      <c r="AB3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Row],[Category]],Majorette_Solo_MajoretteSolo_Children[J5 TOTAL],"&gt;"&amp;Majorette_Solo_MajoretteSolo_Children[[#This Row],[J5 TOTAL]])+1</f>
        <v>1</v>
      </c>
      <c r="AC3" s="24">
        <f>SUM(Majorette_Solo_MajoretteSolo_Children[[#This Row],[J1 TOTAL]]+Majorette_Solo_MajoretteSolo_Children[[#This Row],[J2 TOTAL]]+Majorette_Solo_MajoretteSolo_Children[[#This Row],[J3 TOTAL]]+Majorette_Solo_MajoretteSolo_Children[[#This Row],[J4 TOTAL]])+Majorette_Solo_MajoretteSolo_Children[[#This Row],[J5 TOTAL]]</f>
        <v>32</v>
      </c>
      <c r="AD3" s="24"/>
      <c r="AE3" s="24"/>
      <c r="AF3" s="24">
        <f>SUM(Majorette_Solo_MajoretteSolo_Children[[#This Row],[Total]]-Majorette_Solo_MajoretteSolo_Children[[#This Row],[Low]]-Majorette_Solo_MajoretteSolo_Children[[#This Row],[High]])</f>
        <v>32</v>
      </c>
      <c r="AG3" s="24">
        <f>AVERAGE(I3,M3,Q3,U3,Y3)</f>
        <v>16</v>
      </c>
      <c r="AH3" s="25">
        <f>Majorette_Solo_MajoretteSolo_Children[[#This Row],[Final Total]]</f>
        <v>32</v>
      </c>
      <c r="AI3" s="26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Row],[Category]],Majorette_Solo_MajoretteSolo_Children[FINAL SCORE],"&gt;"&amp;Majorette_Solo_MajoretteSolo_Children[[#This Row],[FINAL SCORE]])+1</f>
        <v>2</v>
      </c>
      <c r="AJ3" s="16" t="s">
        <v>33</v>
      </c>
    </row>
    <row r="4" spans="1:55" ht="15.6" x14ac:dyDescent="0.3">
      <c r="A4" s="16">
        <v>32</v>
      </c>
      <c r="B4" s="17">
        <v>1</v>
      </c>
      <c r="C4" s="17" t="s">
        <v>53</v>
      </c>
      <c r="D4" s="17" t="s">
        <v>30</v>
      </c>
      <c r="E4" s="18"/>
      <c r="F4" s="17" t="s">
        <v>58</v>
      </c>
      <c r="G4" s="27" t="s">
        <v>24</v>
      </c>
      <c r="H4" s="19" t="s">
        <v>25</v>
      </c>
      <c r="I4" s="20">
        <v>13.6</v>
      </c>
      <c r="J4" s="21">
        <v>0.5</v>
      </c>
      <c r="K4" s="22">
        <f>Majorette_Solo_MajoretteSolo_Children[[#This Row],[Judge 1
Tamara Beljak]]-J4</f>
        <v>13.1</v>
      </c>
      <c r="L4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Row],[Category]],Majorette_Solo_MajoretteSolo_Children[J1 TOTAL],"&gt;"&amp;Majorette_Solo_MajoretteSolo_Children[[#This Row],[J1 TOTAL]])+1</f>
        <v>3</v>
      </c>
      <c r="M4" s="20"/>
      <c r="N4" s="21"/>
      <c r="O4" s="22">
        <f>Majorette_Solo_MajoretteSolo_Children[[#This Row],[Judge 2
Tihomir Bendelja]]-Majorette_Solo_MajoretteSolo_Children[[#This Row],[J2 (-)]]</f>
        <v>0</v>
      </c>
      <c r="P4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Row],[Category]],Majorette_Solo_MajoretteSolo_Children[J2 TOTAL],"&gt;"&amp;Majorette_Solo_MajoretteSolo_Children[[#This Row],[J2 TOTAL]])+1</f>
        <v>1</v>
      </c>
      <c r="Q4" s="20">
        <v>12.3</v>
      </c>
      <c r="R4" s="21">
        <v>0.5</v>
      </c>
      <c r="S4" s="22">
        <f>Majorette_Solo_MajoretteSolo_Children[[#This Row],[Judge 3
Tea Softić]]-R4</f>
        <v>11.8</v>
      </c>
      <c r="T4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Row],[Category]],Majorette_Solo_MajoretteSolo_Children[J3 TOTAL],"&gt;"&amp;Majorette_Solo_MajoretteSolo_Children[[#This Row],[J3 TOTAL]])+1</f>
        <v>3</v>
      </c>
      <c r="U4" s="20"/>
      <c r="V4" s="21"/>
      <c r="W4" s="22">
        <f>Majorette_Solo_MajoretteSolo_Children[[#This Row],[Judge 4
Bernard Barač]]-V4</f>
        <v>0</v>
      </c>
      <c r="X4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Row],[Category]],Majorette_Solo_MajoretteSolo_Children[J4 TOTAL],"&gt;"&amp;Majorette_Solo_MajoretteSolo_Children[[#This Row],[J4 TOTAL]])+1</f>
        <v>1</v>
      </c>
      <c r="Y4" s="20"/>
      <c r="Z4" s="21"/>
      <c r="AA4" s="22">
        <f>Majorette_Solo_MajoretteSolo_Children[[#This Row],[Judge 5
Barbara Novina]]-Z4</f>
        <v>0</v>
      </c>
      <c r="AB4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Row],[Category]],Majorette_Solo_MajoretteSolo_Children[J5 TOTAL],"&gt;"&amp;Majorette_Solo_MajoretteSolo_Children[[#This Row],[J5 TOTAL]])+1</f>
        <v>1</v>
      </c>
      <c r="AC4" s="24">
        <f>SUM(Majorette_Solo_MajoretteSolo_Children[[#This Row],[J1 TOTAL]]+Majorette_Solo_MajoretteSolo_Children[[#This Row],[J2 TOTAL]]+Majorette_Solo_MajoretteSolo_Children[[#This Row],[J3 TOTAL]]+Majorette_Solo_MajoretteSolo_Children[[#This Row],[J4 TOTAL]])+Majorette_Solo_MajoretteSolo_Children[[#This Row],[J5 TOTAL]]</f>
        <v>24.9</v>
      </c>
      <c r="AD4" s="24"/>
      <c r="AE4" s="24"/>
      <c r="AF4" s="24">
        <f>SUM(Majorette_Solo_MajoretteSolo_Children[[#This Row],[Total]]-Majorette_Solo_MajoretteSolo_Children[[#This Row],[Low]]-Majorette_Solo_MajoretteSolo_Children[[#This Row],[High]])</f>
        <v>24.9</v>
      </c>
      <c r="AG4" s="24">
        <f>AVERAGE(I4,M4,Q4,U4,Y4)</f>
        <v>12.95</v>
      </c>
      <c r="AH4" s="25">
        <f>Majorette_Solo_MajoretteSolo_Children[[#This Row],[Final Total]]</f>
        <v>24.9</v>
      </c>
      <c r="AI4" s="26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Row],[Category]],Majorette_Solo_MajoretteSolo_Children[FINAL SCORE],"&gt;"&amp;Majorette_Solo_MajoretteSolo_Children[[#This Row],[FINAL SCORE]])+1</f>
        <v>3</v>
      </c>
      <c r="AJ4" s="16" t="s">
        <v>33</v>
      </c>
    </row>
    <row r="5" spans="1:55" ht="15.6" x14ac:dyDescent="0.3">
      <c r="A5" s="16">
        <v>28</v>
      </c>
      <c r="B5" s="17">
        <v>1</v>
      </c>
      <c r="C5" s="17" t="s">
        <v>53</v>
      </c>
      <c r="D5" s="17" t="s">
        <v>30</v>
      </c>
      <c r="E5" s="17"/>
      <c r="F5" s="17" t="s">
        <v>54</v>
      </c>
      <c r="G5" s="27" t="s">
        <v>55</v>
      </c>
      <c r="H5" s="19" t="s">
        <v>25</v>
      </c>
      <c r="I5" s="20">
        <v>11.3</v>
      </c>
      <c r="J5" s="21">
        <v>1.5</v>
      </c>
      <c r="K5" s="22">
        <f>Majorette_Solo_MajoretteSolo_Children[[#This Row],[Judge 1
Tamara Beljak]]-J5</f>
        <v>9.8000000000000007</v>
      </c>
      <c r="L5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Row],[Category]],Majorette_Solo_MajoretteSolo_Children[J1 TOTAL],"&gt;"&amp;Majorette_Solo_MajoretteSolo_Children[[#This Row],[J1 TOTAL]])+1</f>
        <v>4</v>
      </c>
      <c r="M5" s="20"/>
      <c r="N5" s="21"/>
      <c r="O5" s="22">
        <f>Majorette_Solo_MajoretteSolo_Children[[#This Row],[Judge 2
Tihomir Bendelja]]-Majorette_Solo_MajoretteSolo_Children[[#This Row],[J2 (-)]]</f>
        <v>0</v>
      </c>
      <c r="P5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Row],[Category]],Majorette_Solo_MajoretteSolo_Children[J2 TOTAL],"&gt;"&amp;Majorette_Solo_MajoretteSolo_Children[[#This Row],[J2 TOTAL]])+1</f>
        <v>1</v>
      </c>
      <c r="Q5" s="20">
        <v>12.1</v>
      </c>
      <c r="R5" s="21">
        <v>1.5</v>
      </c>
      <c r="S5" s="22">
        <f>Majorette_Solo_MajoretteSolo_Children[[#This Row],[Judge 3
Tea Softić]]-R5</f>
        <v>10.6</v>
      </c>
      <c r="T5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Row],[Category]],Majorette_Solo_MajoretteSolo_Children[J3 TOTAL],"&gt;"&amp;Majorette_Solo_MajoretteSolo_Children[[#This Row],[J3 TOTAL]])+1</f>
        <v>4</v>
      </c>
      <c r="U5" s="20"/>
      <c r="V5" s="21"/>
      <c r="W5" s="22">
        <f>Majorette_Solo_MajoretteSolo_Children[[#This Row],[Judge 4
Bernard Barač]]-V5</f>
        <v>0</v>
      </c>
      <c r="X5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Row],[Category]],Majorette_Solo_MajoretteSolo_Children[J4 TOTAL],"&gt;"&amp;Majorette_Solo_MajoretteSolo_Children[[#This Row],[J4 TOTAL]])+1</f>
        <v>1</v>
      </c>
      <c r="Y5" s="20"/>
      <c r="Z5" s="21"/>
      <c r="AA5" s="22">
        <f>Majorette_Solo_MajoretteSolo_Children[[#This Row],[Judge 5
Barbara Novina]]-Z5</f>
        <v>0</v>
      </c>
      <c r="AB5" s="23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Row],[Category]],Majorette_Solo_MajoretteSolo_Children[J5 TOTAL],"&gt;"&amp;Majorette_Solo_MajoretteSolo_Children[[#This Row],[J5 TOTAL]])+1</f>
        <v>1</v>
      </c>
      <c r="AC5" s="24">
        <f>SUM(Majorette_Solo_MajoretteSolo_Children[[#This Row],[J1 TOTAL]]+Majorette_Solo_MajoretteSolo_Children[[#This Row],[J2 TOTAL]]+Majorette_Solo_MajoretteSolo_Children[[#This Row],[J3 TOTAL]]+Majorette_Solo_MajoretteSolo_Children[[#This Row],[J4 TOTAL]])+Majorette_Solo_MajoretteSolo_Children[[#This Row],[J5 TOTAL]]</f>
        <v>20.399999999999999</v>
      </c>
      <c r="AD5" s="24"/>
      <c r="AE5" s="24"/>
      <c r="AF5" s="24">
        <f>SUM(Majorette_Solo_MajoretteSolo_Children[[#This Row],[Total]]-Majorette_Solo_MajoretteSolo_Children[[#This Row],[Low]]-Majorette_Solo_MajoretteSolo_Children[[#This Row],[High]])</f>
        <v>20.399999999999999</v>
      </c>
      <c r="AG5" s="24">
        <f>AVERAGE(I5,M5,Q5,U5,Y5)</f>
        <v>11.7</v>
      </c>
      <c r="AH5" s="25">
        <f>Majorette_Solo_MajoretteSolo_Children[[#This Row],[Final Total]]</f>
        <v>20.399999999999999</v>
      </c>
      <c r="AI5" s="28">
        <f>COUNTIFS(Majorette_Solo_MajoretteSolo_Children[Age
Division],Majorette_Solo_MajoretteSolo_Children[[#This Row],[Age
Division]],Majorette_Solo_MajoretteSolo_Children[Category],Majorette_Solo_MajoretteSolo_Children[[#This Row],[Category]],Majorette_Solo_MajoretteSolo_Children[FINAL SCORE],"&gt;"&amp;Majorette_Solo_MajoretteSolo_Children[[#This Row],[FINAL SCORE]])+1</f>
        <v>4</v>
      </c>
      <c r="AJ5" s="16" t="s">
        <v>33</v>
      </c>
    </row>
  </sheetData>
  <sheetProtection algorithmName="SHA-512" hashValue="tvpqW/qVth8TVPnEBpJ2dnuRhlt+sGWY6wc8vfV/G4SjXN70/LyqVUe6F+UBMz0dgbJZY96lGmWcLa1Ej5imZw==" saltValue="1G+lTPN/5Gopd17J1kvA3w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8695C-C005-4FDD-B901-8F4EC04B6D82}">
  <dimension ref="A1:BC2"/>
  <sheetViews>
    <sheetView zoomScale="80" zoomScaleNormal="80" workbookViewId="0">
      <pane xSplit="8" topLeftCell="I1" activePane="topRight" state="frozen"/>
      <selection activeCell="U2" sqref="U2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3.6640625" style="29" customWidth="1"/>
    <col min="4" max="4" width="8.77734375" style="30" customWidth="1"/>
    <col min="5" max="5" width="16.33203125" style="30" hidden="1" customWidth="1"/>
    <col min="6" max="6" width="10" style="19" customWidth="1"/>
    <col min="7" max="7" width="26.33203125" style="19" customWidth="1"/>
    <col min="8" max="12" width="9.109375" style="19" customWidth="1"/>
    <col min="13" max="16" width="9.109375" style="19" hidden="1" customWidth="1"/>
    <col min="17" max="20" width="9.109375" style="19" customWidth="1"/>
    <col min="21" max="28" width="9.109375" style="19" hidden="1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50</v>
      </c>
      <c r="B2" s="17">
        <v>1</v>
      </c>
      <c r="C2" s="17" t="s">
        <v>111</v>
      </c>
      <c r="D2" s="17" t="s">
        <v>27</v>
      </c>
      <c r="E2" s="17"/>
      <c r="F2" s="17" t="s">
        <v>69</v>
      </c>
      <c r="G2" s="17" t="s">
        <v>67</v>
      </c>
      <c r="H2" s="19" t="s">
        <v>25</v>
      </c>
      <c r="I2" s="20">
        <v>42.2</v>
      </c>
      <c r="J2" s="21">
        <v>0.5</v>
      </c>
      <c r="K2" s="22">
        <f>Majorette_Solo_PomponSolo_Junior[[#This Row],[Judge 1
Tamara Beljak]]-J2</f>
        <v>41.7</v>
      </c>
      <c r="L2" s="23">
        <f>COUNTIFS(Majorette_Solo_PomponSolo_Junior[Age
Division],Majorette_Solo_PomponSolo_Junior[[#This Row],[Age
Division]],Majorette_Solo_PomponSolo_Junior[Category],Majorette_Solo_PomponSolo_Junior[[#This Row],[Category]],Majorette_Solo_PomponSolo_Junior[J1 TOTAL],"&gt;"&amp;Majorette_Solo_PomponSolo_Junior[[#This Row],[J1 TOTAL]])+1</f>
        <v>1</v>
      </c>
      <c r="M2" s="20"/>
      <c r="N2" s="21"/>
      <c r="O2" s="22">
        <f>Majorette_Solo_PomponSolo_Junior[[#This Row],[Judge 2
Tihomir Bendelja]]-Majorette_Solo_PomponSolo_Junior[[#This Row],[J2 (-)]]</f>
        <v>0</v>
      </c>
      <c r="P2" s="23">
        <f>COUNTIFS(Majorette_Solo_PomponSolo_Junior[Age
Division],Majorette_Solo_PomponSolo_Junior[[#This Row],[Age
Division]],Majorette_Solo_PomponSolo_Junior[Category],Majorette_Solo_PomponSolo_Junior[[#This Row],[Category]],Majorette_Solo_PomponSolo_Junior[J2 TOTAL],"&gt;"&amp;Majorette_Solo_PomponSolo_Junior[[#This Row],[J2 TOTAL]])+1</f>
        <v>1</v>
      </c>
      <c r="Q2" s="20">
        <v>44.8</v>
      </c>
      <c r="R2" s="21">
        <v>0.5</v>
      </c>
      <c r="S2" s="22">
        <f>Majorette_Solo_PomponSolo_Junior[[#This Row],[Judge 3
Tea Softić]]-R2</f>
        <v>44.3</v>
      </c>
      <c r="T2" s="23">
        <f>COUNTIFS(Majorette_Solo_PomponSolo_Junior[Age
Division],Majorette_Solo_PomponSolo_Junior[[#This Row],[Age
Division]],Majorette_Solo_PomponSolo_Junior[Category],Majorette_Solo_PomponSolo_Junior[[#This Row],[Category]],Majorette_Solo_PomponSolo_Junior[J3 TOTAL],"&gt;"&amp;Majorette_Solo_PomponSolo_Junior[[#This Row],[J3 TOTAL]])+1</f>
        <v>1</v>
      </c>
      <c r="U2" s="20"/>
      <c r="V2" s="21"/>
      <c r="W2" s="22">
        <f>Majorette_Solo_PomponSolo_Junior[[#This Row],[Judge 4
Bernard Barač]]-V2</f>
        <v>0</v>
      </c>
      <c r="X2" s="23">
        <f>COUNTIFS(Majorette_Solo_PomponSolo_Junior[Age
Division],Majorette_Solo_PomponSolo_Junior[[#This Row],[Age
Division]],Majorette_Solo_PomponSolo_Junior[Category],Majorette_Solo_PomponSolo_Junior[[#This Row],[Category]],Majorette_Solo_PomponSolo_Junior[J4 TOTAL],"&gt;"&amp;Majorette_Solo_PomponSolo_Junior[[#This Row],[J4 TOTAL]])+1</f>
        <v>1</v>
      </c>
      <c r="Y2" s="20"/>
      <c r="Z2" s="21"/>
      <c r="AA2" s="22">
        <f>Majorette_Solo_PomponSolo_Junior[[#This Row],[Judge 5
Barbara Novina]]-Z2</f>
        <v>0</v>
      </c>
      <c r="AB2" s="23">
        <f>COUNTIFS(Majorette_Solo_PomponSolo_Junior[Age
Division],Majorette_Solo_PomponSolo_Junior[[#This Row],[Age
Division]],Majorette_Solo_PomponSolo_Junior[Category],Majorette_Solo_PomponSolo_Junior[[#This Row],[Category]],Majorette_Solo_PomponSolo_Junior[J5 TOTAL],"&gt;"&amp;Majorette_Solo_PomponSolo_Junior[[#This Row],[J5 TOTAL]])+1</f>
        <v>1</v>
      </c>
      <c r="AC2" s="24">
        <f>SUM(Majorette_Solo_PomponSolo_Junior[[#This Row],[J1 TOTAL]]+Majorette_Solo_PomponSolo_Junior[[#This Row],[J2 TOTAL]]+Majorette_Solo_PomponSolo_Junior[[#This Row],[J3 TOTAL]]+Majorette_Solo_PomponSolo_Junior[[#This Row],[J4 TOTAL]])+Majorette_Solo_PomponSolo_Junior[[#This Row],[J5 TOTAL]]</f>
        <v>86</v>
      </c>
      <c r="AD2" s="24"/>
      <c r="AE2" s="24"/>
      <c r="AF2" s="24">
        <f>SUM(Majorette_Solo_PomponSolo_Junior[[#This Row],[Total]]-Majorette_Solo_PomponSolo_Junior[[#This Row],[Low]]-Majorette_Solo_PomponSolo_Junior[[#This Row],[High]])</f>
        <v>86</v>
      </c>
      <c r="AG2" s="24">
        <f>AVERAGE(I2,M2,Q2,U2,Y2)</f>
        <v>43.5</v>
      </c>
      <c r="AH2" s="25">
        <f>Majorette_Solo_PomponSolo_Junior[[#This Row],[Final Total]]</f>
        <v>86</v>
      </c>
      <c r="AI2" s="28">
        <f>COUNTIFS(Majorette_Solo_PomponSolo_Junior[Age
Division],Majorette_Solo_PomponSolo_Junior[[#This Row],[Age
Division]],Majorette_Solo_PomponSolo_Junior[Category],Majorette_Solo_PomponSolo_Junior[[#This Row],[Category]],Majorette_Solo_PomponSolo_Junior[FINAL SCORE],"&gt;"&amp;Majorette_Solo_PomponSolo_Junior[[#This Row],[FINAL SCORE]])+1</f>
        <v>1</v>
      </c>
      <c r="AJ2" s="16" t="s">
        <v>33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ejJswaRKSMbmwfCulezKK1gNkJQ+jz+alsIO9x/UTz+Og640dZnKQqUkLbB5vY7NrEDzAiBxa97qik9Y2YlmeA==" saltValue="nbR5jIxapueBKgdT+PVDPQ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181D7-063B-4849-AEC0-952E80E6AE0A}">
  <dimension ref="A1:BC2"/>
  <sheetViews>
    <sheetView zoomScale="80" zoomScaleNormal="80" workbookViewId="0">
      <pane xSplit="8" topLeftCell="I1" activePane="topRight" state="frozen"/>
      <selection activeCell="U2" sqref="U2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2.5546875" style="29" customWidth="1"/>
    <col min="4" max="4" width="8.88671875" style="30" customWidth="1"/>
    <col min="5" max="5" width="16.33203125" style="30" hidden="1" customWidth="1"/>
    <col min="6" max="6" width="13.44140625" style="19" customWidth="1"/>
    <col min="7" max="7" width="27.5546875" style="19" customWidth="1"/>
    <col min="8" max="8" width="11.109375" style="19" customWidth="1"/>
    <col min="9" max="12" width="9.109375" style="19" hidden="1" customWidth="1"/>
    <col min="13" max="16" width="9.109375" style="19" customWidth="1"/>
    <col min="17" max="20" width="9.109375" style="19" hidden="1" customWidth="1"/>
    <col min="21" max="28" width="9.109375" style="19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49</v>
      </c>
      <c r="B2" s="17">
        <v>2</v>
      </c>
      <c r="C2" s="17" t="s">
        <v>111</v>
      </c>
      <c r="D2" s="17" t="s">
        <v>29</v>
      </c>
      <c r="E2" s="17"/>
      <c r="F2" s="17" t="s">
        <v>114</v>
      </c>
      <c r="G2" s="17" t="s">
        <v>55</v>
      </c>
      <c r="H2" s="19" t="s">
        <v>25</v>
      </c>
      <c r="I2" s="20"/>
      <c r="J2" s="21"/>
      <c r="K2" s="22">
        <f>Majorette_Solo_PomponSolo_Senior[[#This Row],[Judge 1
Tamara Beljak]]-J2</f>
        <v>0</v>
      </c>
      <c r="L2" s="23">
        <f>COUNTIFS(Majorette_Solo_PomponSolo_Senior[Age
Division],Majorette_Solo_PomponSolo_Senior[[#This Row],[Age
Division]],Majorette_Solo_PomponSolo_Senior[Category],Majorette_Solo_PomponSolo_Senior[[#This Row],[Category]],Majorette_Solo_PomponSolo_Senior[J1 TOTAL],"&gt;"&amp;Majorette_Solo_PomponSolo_Senior[[#This Row],[J1 TOTAL]])+1</f>
        <v>1</v>
      </c>
      <c r="M2" s="20">
        <v>25</v>
      </c>
      <c r="N2" s="21">
        <v>0.5</v>
      </c>
      <c r="O2" s="22">
        <f>Majorette_Solo_PomponSolo_Senior[[#This Row],[Judge 2
Tihomir Bendelja]]-Majorette_Solo_PomponSolo_Senior[[#This Row],[J2 (-)]]</f>
        <v>24.5</v>
      </c>
      <c r="P2" s="23">
        <f>COUNTIFS(Majorette_Solo_PomponSolo_Senior[Age
Division],Majorette_Solo_PomponSolo_Senior[[#This Row],[Age
Division]],Majorette_Solo_PomponSolo_Senior[Category],Majorette_Solo_PomponSolo_Senior[[#This Row],[Category]],Majorette_Solo_PomponSolo_Senior[J2 TOTAL],"&gt;"&amp;Majorette_Solo_PomponSolo_Senior[[#This Row],[J2 TOTAL]])+1</f>
        <v>1</v>
      </c>
      <c r="Q2" s="20"/>
      <c r="R2" s="21"/>
      <c r="S2" s="22">
        <f>Majorette_Solo_PomponSolo_Senior[[#This Row],[Judge 3
Tea Softić]]-R2</f>
        <v>0</v>
      </c>
      <c r="T2" s="23">
        <f>COUNTIFS(Majorette_Solo_PomponSolo_Senior[Age
Division],Majorette_Solo_PomponSolo_Senior[[#This Row],[Age
Division]],Majorette_Solo_PomponSolo_Senior[Category],Majorette_Solo_PomponSolo_Senior[[#This Row],[Category]],Majorette_Solo_PomponSolo_Senior[J3 TOTAL],"&gt;"&amp;Majorette_Solo_PomponSolo_Senior[[#This Row],[J3 TOTAL]])+1</f>
        <v>1</v>
      </c>
      <c r="U2" s="20">
        <v>23.7</v>
      </c>
      <c r="V2" s="21">
        <v>0.5</v>
      </c>
      <c r="W2" s="22">
        <f>Majorette_Solo_PomponSolo_Senior[[#This Row],[Judge 4
Bernard Barač]]-V2</f>
        <v>23.2</v>
      </c>
      <c r="X2" s="23">
        <f>COUNTIFS(Majorette_Solo_PomponSolo_Senior[Age
Division],Majorette_Solo_PomponSolo_Senior[[#This Row],[Age
Division]],Majorette_Solo_PomponSolo_Senior[Category],Majorette_Solo_PomponSolo_Senior[[#This Row],[Category]],Majorette_Solo_PomponSolo_Senior[J4 TOTAL],"&gt;"&amp;Majorette_Solo_PomponSolo_Senior[[#This Row],[J4 TOTAL]])+1</f>
        <v>1</v>
      </c>
      <c r="Y2" s="20">
        <v>22.6</v>
      </c>
      <c r="Z2" s="21">
        <v>0.5</v>
      </c>
      <c r="AA2" s="22">
        <f>Majorette_Solo_PomponSolo_Senior[[#This Row],[Judge 5
Barbara Novina]]-Z2</f>
        <v>22.1</v>
      </c>
      <c r="AB2" s="23">
        <f>COUNTIFS(Majorette_Solo_PomponSolo_Senior[Age
Division],Majorette_Solo_PomponSolo_Senior[[#This Row],[Age
Division]],Majorette_Solo_PomponSolo_Senior[Category],Majorette_Solo_PomponSolo_Senior[[#This Row],[Category]],Majorette_Solo_PomponSolo_Senior[J5 TOTAL],"&gt;"&amp;Majorette_Solo_PomponSolo_Senior[[#This Row],[J5 TOTAL]])+1</f>
        <v>1</v>
      </c>
      <c r="AC2" s="24">
        <f>SUM(Majorette_Solo_PomponSolo_Senior[[#This Row],[J1 TOTAL]]+Majorette_Solo_PomponSolo_Senior[[#This Row],[J2 TOTAL]]+Majorette_Solo_PomponSolo_Senior[[#This Row],[J3 TOTAL]]+Majorette_Solo_PomponSolo_Senior[[#This Row],[J4 TOTAL]])+Majorette_Solo_PomponSolo_Senior[[#This Row],[J5 TOTAL]]</f>
        <v>69.800000000000011</v>
      </c>
      <c r="AD2" s="24"/>
      <c r="AE2" s="24"/>
      <c r="AF2" s="24">
        <f>SUM(Majorette_Solo_PomponSolo_Senior[[#This Row],[Total]]-Majorette_Solo_PomponSolo_Senior[[#This Row],[Low]]-Majorette_Solo_PomponSolo_Senior[[#This Row],[High]])</f>
        <v>69.800000000000011</v>
      </c>
      <c r="AG2" s="24">
        <f>AVERAGE(I2,M2,Q2,U2,Y2)</f>
        <v>23.766666666666669</v>
      </c>
      <c r="AH2" s="25">
        <f>Majorette_Solo_PomponSolo_Senior[[#This Row],[Final Total]]</f>
        <v>69.800000000000011</v>
      </c>
      <c r="AI2" s="28">
        <f>COUNTIFS(Majorette_Solo_PomponSolo_Senior[Age
Division],Majorette_Solo_PomponSolo_Senior[[#This Row],[Age
Division]],Majorette_Solo_PomponSolo_Senior[Category],Majorette_Solo_PomponSolo_Senior[[#This Row],[Category]],Majorette_Solo_PomponSolo_Senior[FINAL SCORE],"&gt;"&amp;Majorette_Solo_PomponSolo_Senior[[#This Row],[FINAL SCORE]])+1</f>
        <v>1</v>
      </c>
      <c r="AJ2" s="16" t="s">
        <v>33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GMiv3Dprg3GCJIWdsLYPcwPcrvaRHXmMRLt8RYioIHrXzRMxYQkPWVUoBONg1skZcOWheuMRdCjwSKdoW1GPHQ==" saltValue="xPD+7M8LvPm3+vV7fjK2HQ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430ED-0DEE-440B-9428-AF8D96536966}">
  <dimension ref="A1:BC4"/>
  <sheetViews>
    <sheetView zoomScale="80" zoomScaleNormal="80" workbookViewId="0">
      <pane xSplit="8" topLeftCell="I1" activePane="topRight" state="frozen"/>
      <selection activeCell="G18" sqref="G18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hidden="1" customWidth="1"/>
    <col min="3" max="3" width="16.44140625" style="29" customWidth="1"/>
    <col min="4" max="4" width="10.44140625" style="30" customWidth="1"/>
    <col min="5" max="5" width="16.33203125" style="30" hidden="1" customWidth="1"/>
    <col min="6" max="6" width="25.5546875" style="19" customWidth="1"/>
    <col min="7" max="7" width="44.6640625" style="19" customWidth="1"/>
    <col min="8" max="8" width="8" style="19" customWidth="1"/>
    <col min="9" max="16" width="9.109375" style="19" customWidth="1"/>
    <col min="17" max="28" width="9.109375" style="19" hidden="1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86</v>
      </c>
      <c r="B2" s="17">
        <v>1</v>
      </c>
      <c r="C2" s="17" t="s">
        <v>79</v>
      </c>
      <c r="D2" s="17" t="s">
        <v>30</v>
      </c>
      <c r="E2" s="17"/>
      <c r="F2" s="17" t="s">
        <v>76</v>
      </c>
      <c r="G2" s="17" t="s">
        <v>55</v>
      </c>
      <c r="H2" s="19" t="s">
        <v>25</v>
      </c>
      <c r="I2" s="20">
        <v>13.3</v>
      </c>
      <c r="J2" s="21">
        <v>0.5</v>
      </c>
      <c r="K2" s="22">
        <f>Majorette_Duo_MajoretteDuoTrio_Children[[#This Row],[Judge 1
Tamara Beljak]]-J2</f>
        <v>12.8</v>
      </c>
      <c r="L2" s="23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Row],[Category]],Majorette_Duo_MajoretteDuoTrio_Children[J1 TOTAL],"&gt;"&amp;Majorette_Duo_MajoretteDuoTrio_Children[[#This Row],[J1 TOTAL]])+1</f>
        <v>1</v>
      </c>
      <c r="M2" s="20">
        <v>13.8</v>
      </c>
      <c r="N2" s="21">
        <v>0.5</v>
      </c>
      <c r="O2" s="22">
        <f>Majorette_Duo_MajoretteDuoTrio_Children[[#This Row],[Judge 2
Tihomir Bendelja]]-Majorette_Duo_MajoretteDuoTrio_Children[[#This Row],[J2 (-)]]</f>
        <v>13.3</v>
      </c>
      <c r="P2" s="23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Row],[Category]],Majorette_Duo_MajoretteDuoTrio_Children[J2 TOTAL],"&gt;"&amp;Majorette_Duo_MajoretteDuoTrio_Children[[#This Row],[J2 TOTAL]])+1</f>
        <v>1</v>
      </c>
      <c r="Q2" s="20"/>
      <c r="R2" s="21"/>
      <c r="S2" s="22">
        <f>Majorette_Duo_MajoretteDuoTrio_Children[[#This Row],[Judge 3
Tea Softić]]-R2</f>
        <v>0</v>
      </c>
      <c r="T2" s="23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Row],[Category]],Majorette_Duo_MajoretteDuoTrio_Children[J3 TOTAL],"&gt;"&amp;Majorette_Duo_MajoretteDuoTrio_Children[[#This Row],[J3 TOTAL]])+1</f>
        <v>1</v>
      </c>
      <c r="U2" s="20"/>
      <c r="V2" s="21"/>
      <c r="W2" s="22">
        <f>Majorette_Duo_MajoretteDuoTrio_Children[[#This Row],[Judge 4
Bernard Barač]]-V2</f>
        <v>0</v>
      </c>
      <c r="X2" s="23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Row],[Category]],Majorette_Duo_MajoretteDuoTrio_Children[J4 TOTAL],"&gt;"&amp;Majorette_Duo_MajoretteDuoTrio_Children[[#This Row],[J4 TOTAL]])+1</f>
        <v>1</v>
      </c>
      <c r="Y2" s="20"/>
      <c r="Z2" s="21"/>
      <c r="AA2" s="22">
        <f>Majorette_Duo_MajoretteDuoTrio_Children[[#This Row],[Judge 5
Barbara Novina]]-Z2</f>
        <v>0</v>
      </c>
      <c r="AB2" s="23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Row],[Category]],Majorette_Duo_MajoretteDuoTrio_Children[J5 TOTAL],"&gt;"&amp;Majorette_Duo_MajoretteDuoTrio_Children[[#This Row],[J5 TOTAL]])+1</f>
        <v>1</v>
      </c>
      <c r="AC2" s="24">
        <f>SUM(Majorette_Duo_MajoretteDuoTrio_Children[[#This Row],[J1 TOTAL]]+Majorette_Duo_MajoretteDuoTrio_Children[[#This Row],[J2 TOTAL]]+Majorette_Duo_MajoretteDuoTrio_Children[[#This Row],[J3 TOTAL]]+Majorette_Duo_MajoretteDuoTrio_Children[[#This Row],[J4 TOTAL]])+Majorette_Duo_MajoretteDuoTrio_Children[[#This Row],[J5 TOTAL]]</f>
        <v>26.1</v>
      </c>
      <c r="AD2" s="24"/>
      <c r="AE2" s="24"/>
      <c r="AF2" s="24">
        <f>SUM(Majorette_Duo_MajoretteDuoTrio_Children[[#This Row],[Total]]-Majorette_Duo_MajoretteDuoTrio_Children[[#This Row],[Low]]-Majorette_Duo_MajoretteDuoTrio_Children[[#This Row],[High]])</f>
        <v>26.1</v>
      </c>
      <c r="AG2" s="24">
        <f>AVERAGE(I2,M2,Q2,U2,Y2)</f>
        <v>13.55</v>
      </c>
      <c r="AH2" s="25">
        <f>Majorette_Duo_MajoretteDuoTrio_Children[[#This Row],[Final Total]]</f>
        <v>26.1</v>
      </c>
      <c r="AI2" s="28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Row],[Category]],Majorette_Duo_MajoretteDuoTrio_Children[FINAL SCORE],"&gt;"&amp;Majorette_Duo_MajoretteDuoTrio_Children[[#This Row],[FINAL SCORE]])+1</f>
        <v>1</v>
      </c>
      <c r="AJ2" s="16" t="s">
        <v>118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90</v>
      </c>
      <c r="B3" s="17">
        <v>1</v>
      </c>
      <c r="C3" s="17" t="s">
        <v>79</v>
      </c>
      <c r="D3" s="17" t="s">
        <v>30</v>
      </c>
      <c r="E3" s="18"/>
      <c r="F3" s="17" t="s">
        <v>78</v>
      </c>
      <c r="G3" s="17" t="s">
        <v>24</v>
      </c>
      <c r="H3" s="19" t="s">
        <v>25</v>
      </c>
      <c r="I3" s="20">
        <v>12.6</v>
      </c>
      <c r="J3" s="21">
        <v>1</v>
      </c>
      <c r="K3" s="22">
        <f>Majorette_Duo_MajoretteDuoTrio_Children[[#This Row],[Judge 1
Tamara Beljak]]-J3</f>
        <v>11.6</v>
      </c>
      <c r="L3" s="23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Row],[Category]],Majorette_Duo_MajoretteDuoTrio_Children[J1 TOTAL],"&gt;"&amp;Majorette_Duo_MajoretteDuoTrio_Children[[#This Row],[J1 TOTAL]])+1</f>
        <v>2</v>
      </c>
      <c r="M3" s="20">
        <v>12.8</v>
      </c>
      <c r="N3" s="21">
        <v>1</v>
      </c>
      <c r="O3" s="22">
        <f>Majorette_Duo_MajoretteDuoTrio_Children[[#This Row],[Judge 2
Tihomir Bendelja]]-Majorette_Duo_MajoretteDuoTrio_Children[[#This Row],[J2 (-)]]</f>
        <v>11.8</v>
      </c>
      <c r="P3" s="23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Row],[Category]],Majorette_Duo_MajoretteDuoTrio_Children[J2 TOTAL],"&gt;"&amp;Majorette_Duo_MajoretteDuoTrio_Children[[#This Row],[J2 TOTAL]])+1</f>
        <v>3</v>
      </c>
      <c r="Q3" s="20"/>
      <c r="R3" s="21"/>
      <c r="S3" s="22">
        <f>Majorette_Duo_MajoretteDuoTrio_Children[[#This Row],[Judge 3
Tea Softić]]-R3</f>
        <v>0</v>
      </c>
      <c r="T3" s="23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Row],[Category]],Majorette_Duo_MajoretteDuoTrio_Children[J3 TOTAL],"&gt;"&amp;Majorette_Duo_MajoretteDuoTrio_Children[[#This Row],[J3 TOTAL]])+1</f>
        <v>1</v>
      </c>
      <c r="U3" s="20"/>
      <c r="V3" s="21"/>
      <c r="W3" s="22">
        <f>Majorette_Duo_MajoretteDuoTrio_Children[[#This Row],[Judge 4
Bernard Barač]]-V3</f>
        <v>0</v>
      </c>
      <c r="X3" s="23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Row],[Category]],Majorette_Duo_MajoretteDuoTrio_Children[J4 TOTAL],"&gt;"&amp;Majorette_Duo_MajoretteDuoTrio_Children[[#This Row],[J4 TOTAL]])+1</f>
        <v>1</v>
      </c>
      <c r="Y3" s="20"/>
      <c r="Z3" s="21"/>
      <c r="AA3" s="22">
        <f>Majorette_Duo_MajoretteDuoTrio_Children[[#This Row],[Judge 5
Barbara Novina]]-Z3</f>
        <v>0</v>
      </c>
      <c r="AB3" s="23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Row],[Category]],Majorette_Duo_MajoretteDuoTrio_Children[J5 TOTAL],"&gt;"&amp;Majorette_Duo_MajoretteDuoTrio_Children[[#This Row],[J5 TOTAL]])+1</f>
        <v>1</v>
      </c>
      <c r="AC3" s="24">
        <f>SUM(Majorette_Duo_MajoretteDuoTrio_Children[[#This Row],[J1 TOTAL]]+Majorette_Duo_MajoretteDuoTrio_Children[[#This Row],[J2 TOTAL]]+Majorette_Duo_MajoretteDuoTrio_Children[[#This Row],[J3 TOTAL]]+Majorette_Duo_MajoretteDuoTrio_Children[[#This Row],[J4 TOTAL]])+Majorette_Duo_MajoretteDuoTrio_Children[[#This Row],[J5 TOTAL]]</f>
        <v>23.4</v>
      </c>
      <c r="AD3" s="24"/>
      <c r="AE3" s="24"/>
      <c r="AF3" s="24">
        <f>SUM(Majorette_Duo_MajoretteDuoTrio_Children[[#This Row],[Total]]-Majorette_Duo_MajoretteDuoTrio_Children[[#This Row],[Low]]-Majorette_Duo_MajoretteDuoTrio_Children[[#This Row],[High]])</f>
        <v>23.4</v>
      </c>
      <c r="AG3" s="24">
        <f>AVERAGE(I3,M3,Q3,U3,Y3)</f>
        <v>12.7</v>
      </c>
      <c r="AH3" s="25">
        <f>Majorette_Duo_MajoretteDuoTrio_Children[[#This Row],[Final Total]]</f>
        <v>23.4</v>
      </c>
      <c r="AI3" s="26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Row],[Category]],Majorette_Duo_MajoretteDuoTrio_Children[FINAL SCORE],"&gt;"&amp;Majorette_Duo_MajoretteDuoTrio_Children[[#This Row],[FINAL SCORE]])+1</f>
        <v>2</v>
      </c>
      <c r="AJ3" s="16" t="s">
        <v>118</v>
      </c>
    </row>
    <row r="4" spans="1:55" ht="15.6" x14ac:dyDescent="0.3">
      <c r="A4" s="16">
        <v>88</v>
      </c>
      <c r="B4" s="17">
        <v>1</v>
      </c>
      <c r="C4" s="17" t="s">
        <v>79</v>
      </c>
      <c r="D4" s="17" t="s">
        <v>30</v>
      </c>
      <c r="E4" s="17"/>
      <c r="F4" s="17" t="s">
        <v>77</v>
      </c>
      <c r="G4" s="17" t="s">
        <v>24</v>
      </c>
      <c r="H4" s="19" t="s">
        <v>25</v>
      </c>
      <c r="I4" s="20">
        <v>12.3</v>
      </c>
      <c r="J4" s="21">
        <v>2</v>
      </c>
      <c r="K4" s="22">
        <f>Majorette_Duo_MajoretteDuoTrio_Children[[#This Row],[Judge 1
Tamara Beljak]]-J4</f>
        <v>10.3</v>
      </c>
      <c r="L4" s="23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Row],[Category]],Majorette_Duo_MajoretteDuoTrio_Children[J1 TOTAL],"&gt;"&amp;Majorette_Duo_MajoretteDuoTrio_Children[[#This Row],[J1 TOTAL]])+1</f>
        <v>3</v>
      </c>
      <c r="M4" s="20">
        <v>14</v>
      </c>
      <c r="N4" s="21">
        <v>2</v>
      </c>
      <c r="O4" s="22">
        <f>Majorette_Duo_MajoretteDuoTrio_Children[[#This Row],[Judge 2
Tihomir Bendelja]]-Majorette_Duo_MajoretteDuoTrio_Children[[#This Row],[J2 (-)]]</f>
        <v>12</v>
      </c>
      <c r="P4" s="23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Row],[Category]],Majorette_Duo_MajoretteDuoTrio_Children[J2 TOTAL],"&gt;"&amp;Majorette_Duo_MajoretteDuoTrio_Children[[#This Row],[J2 TOTAL]])+1</f>
        <v>2</v>
      </c>
      <c r="Q4" s="20"/>
      <c r="R4" s="21"/>
      <c r="S4" s="22">
        <f>Majorette_Duo_MajoretteDuoTrio_Children[[#This Row],[Judge 3
Tea Softić]]-R4</f>
        <v>0</v>
      </c>
      <c r="T4" s="23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Row],[Category]],Majorette_Duo_MajoretteDuoTrio_Children[J3 TOTAL],"&gt;"&amp;Majorette_Duo_MajoretteDuoTrio_Children[[#This Row],[J3 TOTAL]])+1</f>
        <v>1</v>
      </c>
      <c r="U4" s="20"/>
      <c r="V4" s="21"/>
      <c r="W4" s="22">
        <f>Majorette_Duo_MajoretteDuoTrio_Children[[#This Row],[Judge 4
Bernard Barač]]-V4</f>
        <v>0</v>
      </c>
      <c r="X4" s="23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Row],[Category]],Majorette_Duo_MajoretteDuoTrio_Children[J4 TOTAL],"&gt;"&amp;Majorette_Duo_MajoretteDuoTrio_Children[[#This Row],[J4 TOTAL]])+1</f>
        <v>1</v>
      </c>
      <c r="Y4" s="20"/>
      <c r="Z4" s="21"/>
      <c r="AA4" s="22">
        <f>Majorette_Duo_MajoretteDuoTrio_Children[[#This Row],[Judge 5
Barbara Novina]]-Z4</f>
        <v>0</v>
      </c>
      <c r="AB4" s="23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Row],[Category]],Majorette_Duo_MajoretteDuoTrio_Children[J5 TOTAL],"&gt;"&amp;Majorette_Duo_MajoretteDuoTrio_Children[[#This Row],[J5 TOTAL]])+1</f>
        <v>1</v>
      </c>
      <c r="AC4" s="24">
        <f>SUM(Majorette_Duo_MajoretteDuoTrio_Children[[#This Row],[J1 TOTAL]]+Majorette_Duo_MajoretteDuoTrio_Children[[#This Row],[J2 TOTAL]]+Majorette_Duo_MajoretteDuoTrio_Children[[#This Row],[J3 TOTAL]]+Majorette_Duo_MajoretteDuoTrio_Children[[#This Row],[J4 TOTAL]])+Majorette_Duo_MajoretteDuoTrio_Children[[#This Row],[J5 TOTAL]]</f>
        <v>22.3</v>
      </c>
      <c r="AD4" s="24"/>
      <c r="AE4" s="24"/>
      <c r="AF4" s="24">
        <f>SUM(Majorette_Duo_MajoretteDuoTrio_Children[[#This Row],[Total]]-Majorette_Duo_MajoretteDuoTrio_Children[[#This Row],[Low]]-Majorette_Duo_MajoretteDuoTrio_Children[[#This Row],[High]])</f>
        <v>22.3</v>
      </c>
      <c r="AG4" s="24">
        <f>AVERAGE(I4,M4,Q4,U4,Y4)</f>
        <v>13.15</v>
      </c>
      <c r="AH4" s="25">
        <f>Majorette_Duo_MajoretteDuoTrio_Children[[#This Row],[Final Total]]</f>
        <v>22.3</v>
      </c>
      <c r="AI4" s="26">
        <f>COUNTIFS(Majorette_Duo_MajoretteDuoTrio_Children[Age
Division],Majorette_Duo_MajoretteDuoTrio_Children[[#This Row],[Age
Division]],Majorette_Duo_MajoretteDuoTrio_Children[Category],Majorette_Duo_MajoretteDuoTrio_Children[[#This Row],[Category]],Majorette_Duo_MajoretteDuoTrio_Children[FINAL SCORE],"&gt;"&amp;Majorette_Duo_MajoretteDuoTrio_Children[[#This Row],[FINAL SCORE]])+1</f>
        <v>3</v>
      </c>
      <c r="AJ4" s="16" t="s">
        <v>118</v>
      </c>
    </row>
  </sheetData>
  <sheetProtection algorithmName="SHA-512" hashValue="6tl7EkVniRUfWcfSQ/zzBNrr7k7RKf2gzTAfEXX8wnek0GK9QRE4b/xLbf9ca1TxtPcSfqrs8Jb0rUnIwY6sTA==" saltValue="o5nyhUTU4JvO0od9O2TxkA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FEE01-BDC6-446D-98C9-C711E02CF6B5}">
  <dimension ref="A1:BC3"/>
  <sheetViews>
    <sheetView zoomScale="80" zoomScaleNormal="80" workbookViewId="0">
      <pane xSplit="8" topLeftCell="S1" activePane="topRight" state="frozen"/>
      <selection activeCell="G18" sqref="G18"/>
      <selection pane="topRight" activeCell="AJ1" sqref="AI1:AJ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5.44140625" style="29" customWidth="1"/>
    <col min="4" max="4" width="7.33203125" style="30" customWidth="1"/>
    <col min="5" max="5" width="16.33203125" style="30" hidden="1" customWidth="1"/>
    <col min="6" max="6" width="28.109375" style="19" customWidth="1"/>
    <col min="7" max="7" width="32.109375" style="19" customWidth="1"/>
    <col min="8" max="8" width="7.5546875" style="19" customWidth="1"/>
    <col min="9" max="16" width="9.109375" style="19" hidden="1" customWidth="1"/>
    <col min="17" max="28" width="9.109375" style="19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hidden="1" customWidth="1"/>
    <col min="36" max="36" width="9.109375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89</v>
      </c>
      <c r="B2" s="17"/>
      <c r="C2" s="17" t="s">
        <v>79</v>
      </c>
      <c r="D2" s="17" t="s">
        <v>27</v>
      </c>
      <c r="E2" s="18"/>
      <c r="F2" s="17" t="s">
        <v>140</v>
      </c>
      <c r="G2" s="27" t="s">
        <v>55</v>
      </c>
      <c r="H2" s="19" t="s">
        <v>25</v>
      </c>
      <c r="I2" s="20"/>
      <c r="J2" s="21"/>
      <c r="K2" s="22">
        <f>Majorette_Duo_MajoretteDuoTrio_Junior[[#This Row],[Judge 1
Tamara Beljak]]-J2</f>
        <v>0</v>
      </c>
      <c r="L2" s="23">
        <f>COUNTIFS(Majorette_Duo_MajoretteDuoTrio_Junior[Age
Division],Majorette_Duo_MajoretteDuoTrio_Junior[[#This Row],[Age
Division]],Majorette_Duo_MajoretteDuoTrio_Junior[Category],Majorette_Duo_MajoretteDuoTrio_Junior[[#This Row],[Category]],Majorette_Duo_MajoretteDuoTrio_Junior[J1 TOTAL],"&gt;"&amp;Majorette_Duo_MajoretteDuoTrio_Junior[[#This Row],[J1 TOTAL]])+1</f>
        <v>1</v>
      </c>
      <c r="M2" s="20"/>
      <c r="N2" s="21"/>
      <c r="O2" s="22">
        <f>Majorette_Duo_MajoretteDuoTrio_Junior[[#This Row],[Judge 2
Tihomir Bendelja]]-Majorette_Duo_MajoretteDuoTrio_Junior[[#This Row],[J2 (-)]]</f>
        <v>0</v>
      </c>
      <c r="P2" s="23">
        <f>COUNTIFS(Majorette_Duo_MajoretteDuoTrio_Junior[Age
Division],Majorette_Duo_MajoretteDuoTrio_Junior[[#This Row],[Age
Division]],Majorette_Duo_MajoretteDuoTrio_Junior[Category],Majorette_Duo_MajoretteDuoTrio_Junior[[#This Row],[Category]],Majorette_Duo_MajoretteDuoTrio_Junior[J2 TOTAL],"&gt;"&amp;Majorette_Duo_MajoretteDuoTrio_Junior[[#This Row],[J2 TOTAL]])+1</f>
        <v>1</v>
      </c>
      <c r="Q2" s="20">
        <v>19.899999999999999</v>
      </c>
      <c r="R2" s="21">
        <v>2.5</v>
      </c>
      <c r="S2" s="22">
        <f>Majorette_Duo_MajoretteDuoTrio_Junior[[#This Row],[Judge 3
Tea Softić]]-R2</f>
        <v>17.399999999999999</v>
      </c>
      <c r="T2" s="23">
        <f>COUNTIFS(Majorette_Duo_MajoretteDuoTrio_Junior[Age
Division],Majorette_Duo_MajoretteDuoTrio_Junior[[#This Row],[Age
Division]],Majorette_Duo_MajoretteDuoTrio_Junior[Category],Majorette_Duo_MajoretteDuoTrio_Junior[[#This Row],[Category]],Majorette_Duo_MajoretteDuoTrio_Junior[J3 TOTAL],"&gt;"&amp;Majorette_Duo_MajoretteDuoTrio_Junior[[#This Row],[J3 TOTAL]])+1</f>
        <v>1</v>
      </c>
      <c r="U2" s="20">
        <v>19.100000000000001</v>
      </c>
      <c r="V2" s="21">
        <v>2.5</v>
      </c>
      <c r="W2" s="22">
        <f>Majorette_Duo_MajoretteDuoTrio_Junior[[#This Row],[Judge 4
Bernard Barač]]-V2</f>
        <v>16.600000000000001</v>
      </c>
      <c r="X2" s="23">
        <f>COUNTIFS(Majorette_Duo_MajoretteDuoTrio_Junior[Age
Division],Majorette_Duo_MajoretteDuoTrio_Junior[[#This Row],[Age
Division]],Majorette_Duo_MajoretteDuoTrio_Junior[Category],Majorette_Duo_MajoretteDuoTrio_Junior[[#This Row],[Category]],Majorette_Duo_MajoretteDuoTrio_Junior[J4 TOTAL],"&gt;"&amp;Majorette_Duo_MajoretteDuoTrio_Junior[[#This Row],[J4 TOTAL]])+1</f>
        <v>1</v>
      </c>
      <c r="Y2" s="20">
        <v>15.1</v>
      </c>
      <c r="Z2" s="21">
        <v>2.5</v>
      </c>
      <c r="AA2" s="22">
        <f>Majorette_Duo_MajoretteDuoTrio_Junior[[#This Row],[Judge 5
Barbara Novina]]-Z2</f>
        <v>12.6</v>
      </c>
      <c r="AB2" s="23">
        <f>COUNTIFS(Majorette_Duo_MajoretteDuoTrio_Junior[Age
Division],Majorette_Duo_MajoretteDuoTrio_Junior[[#This Row],[Age
Division]],Majorette_Duo_MajoretteDuoTrio_Junior[Category],Majorette_Duo_MajoretteDuoTrio_Junior[[#This Row],[Category]],Majorette_Duo_MajoretteDuoTrio_Junior[J5 TOTAL],"&gt;"&amp;Majorette_Duo_MajoretteDuoTrio_Junior[[#This Row],[J5 TOTAL]])+1</f>
        <v>2</v>
      </c>
      <c r="AC2" s="24">
        <f>SUM(Majorette_Duo_MajoretteDuoTrio_Junior[[#This Row],[J1 TOTAL]]+Majorette_Duo_MajoretteDuoTrio_Junior[[#This Row],[J2 TOTAL]]+Majorette_Duo_MajoretteDuoTrio_Junior[[#This Row],[J3 TOTAL]]+Majorette_Duo_MajoretteDuoTrio_Junior[[#This Row],[J4 TOTAL]])+Majorette_Duo_MajoretteDuoTrio_Junior[[#This Row],[J5 TOTAL]]</f>
        <v>46.6</v>
      </c>
      <c r="AD2" s="24"/>
      <c r="AE2" s="24"/>
      <c r="AF2" s="24">
        <f>SUM(Majorette_Duo_MajoretteDuoTrio_Junior[[#This Row],[Total]]-Majorette_Duo_MajoretteDuoTrio_Junior[[#This Row],[Low]]-Majorette_Duo_MajoretteDuoTrio_Junior[[#This Row],[High]])</f>
        <v>46.6</v>
      </c>
      <c r="AG2" s="24">
        <f>AVERAGE(I2,M2,Q2,U2,Y2)</f>
        <v>18.033333333333335</v>
      </c>
      <c r="AH2" s="25">
        <f>Majorette_Duo_MajoretteDuoTrio_Junior[[#This Row],[Final Total]]</f>
        <v>46.6</v>
      </c>
      <c r="AI2" s="26">
        <f>COUNTIFS(Majorette_Duo_MajoretteDuoTrio_Junior[Age
Division],Majorette_Duo_MajoretteDuoTrio_Junior[[#This Row],[Age
Division]],Majorette_Duo_MajoretteDuoTrio_Junior[Category],Majorette_Duo_MajoretteDuoTrio_Junior[[#This Row],[Category]],Majorette_Duo_MajoretteDuoTrio_Junior[FINAL SCORE],"&gt;"&amp;Majorette_Duo_MajoretteDuoTrio_Junior[[#This Row],[FINAL SCORE]])+1</f>
        <v>1</v>
      </c>
      <c r="AJ2" s="16" t="s">
        <v>118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87</v>
      </c>
      <c r="B3" s="17"/>
      <c r="C3" s="17" t="s">
        <v>79</v>
      </c>
      <c r="D3" s="17" t="s">
        <v>27</v>
      </c>
      <c r="E3" s="17"/>
      <c r="F3" s="17" t="s">
        <v>141</v>
      </c>
      <c r="G3" s="27" t="s">
        <v>73</v>
      </c>
      <c r="H3" s="19" t="s">
        <v>25</v>
      </c>
      <c r="I3" s="20"/>
      <c r="J3" s="21"/>
      <c r="K3" s="22">
        <f>Majorette_Duo_MajoretteDuoTrio_Junior[[#This Row],[Judge 1
Tamara Beljak]]-J3</f>
        <v>0</v>
      </c>
      <c r="L3" s="23">
        <f>COUNTIFS(Majorette_Duo_MajoretteDuoTrio_Junior[Age
Division],Majorette_Duo_MajoretteDuoTrio_Junior[[#This Row],[Age
Division]],Majorette_Duo_MajoretteDuoTrio_Junior[Category],Majorette_Duo_MajoretteDuoTrio_Junior[[#This Row],[Category]],Majorette_Duo_MajoretteDuoTrio_Junior[J1 TOTAL],"&gt;"&amp;Majorette_Duo_MajoretteDuoTrio_Junior[[#This Row],[J1 TOTAL]])+1</f>
        <v>1</v>
      </c>
      <c r="M3" s="20"/>
      <c r="N3" s="21"/>
      <c r="O3" s="22">
        <f>Majorette_Duo_MajoretteDuoTrio_Junior[[#This Row],[Judge 2
Tihomir Bendelja]]-Majorette_Duo_MajoretteDuoTrio_Junior[[#This Row],[J2 (-)]]</f>
        <v>0</v>
      </c>
      <c r="P3" s="23">
        <f>COUNTIFS(Majorette_Duo_MajoretteDuoTrio_Junior[Age
Division],Majorette_Duo_MajoretteDuoTrio_Junior[[#This Row],[Age
Division]],Majorette_Duo_MajoretteDuoTrio_Junior[Category],Majorette_Duo_MajoretteDuoTrio_Junior[[#This Row],[Category]],Majorette_Duo_MajoretteDuoTrio_Junior[J2 TOTAL],"&gt;"&amp;Majorette_Duo_MajoretteDuoTrio_Junior[[#This Row],[J2 TOTAL]])+1</f>
        <v>1</v>
      </c>
      <c r="Q3" s="20">
        <v>16.399999999999999</v>
      </c>
      <c r="R3" s="21">
        <v>1.5</v>
      </c>
      <c r="S3" s="22">
        <f>Majorette_Duo_MajoretteDuoTrio_Junior[[#This Row],[Judge 3
Tea Softić]]-R3</f>
        <v>14.899999999999999</v>
      </c>
      <c r="T3" s="23">
        <f>COUNTIFS(Majorette_Duo_MajoretteDuoTrio_Junior[Age
Division],Majorette_Duo_MajoretteDuoTrio_Junior[[#This Row],[Age
Division]],Majorette_Duo_MajoretteDuoTrio_Junior[Category],Majorette_Duo_MajoretteDuoTrio_Junior[[#This Row],[Category]],Majorette_Duo_MajoretteDuoTrio_Junior[J3 TOTAL],"&gt;"&amp;Majorette_Duo_MajoretteDuoTrio_Junior[[#This Row],[J3 TOTAL]])+1</f>
        <v>2</v>
      </c>
      <c r="U3" s="20">
        <v>15.4</v>
      </c>
      <c r="V3" s="21">
        <v>1.5</v>
      </c>
      <c r="W3" s="22">
        <f>Majorette_Duo_MajoretteDuoTrio_Junior[[#This Row],[Judge 4
Bernard Barač]]-V3</f>
        <v>13.9</v>
      </c>
      <c r="X3" s="23">
        <f>COUNTIFS(Majorette_Duo_MajoretteDuoTrio_Junior[Age
Division],Majorette_Duo_MajoretteDuoTrio_Junior[[#This Row],[Age
Division]],Majorette_Duo_MajoretteDuoTrio_Junior[Category],Majorette_Duo_MajoretteDuoTrio_Junior[[#This Row],[Category]],Majorette_Duo_MajoretteDuoTrio_Junior[J4 TOTAL],"&gt;"&amp;Majorette_Duo_MajoretteDuoTrio_Junior[[#This Row],[J4 TOTAL]])+1</f>
        <v>2</v>
      </c>
      <c r="Y3" s="20">
        <v>15.1</v>
      </c>
      <c r="Z3" s="21">
        <v>1.5</v>
      </c>
      <c r="AA3" s="22">
        <f>Majorette_Duo_MajoretteDuoTrio_Junior[[#This Row],[Judge 5
Barbara Novina]]-Z3</f>
        <v>13.6</v>
      </c>
      <c r="AB3" s="23">
        <f>COUNTIFS(Majorette_Duo_MajoretteDuoTrio_Junior[Age
Division],Majorette_Duo_MajoretteDuoTrio_Junior[[#This Row],[Age
Division]],Majorette_Duo_MajoretteDuoTrio_Junior[Category],Majorette_Duo_MajoretteDuoTrio_Junior[[#This Row],[Category]],Majorette_Duo_MajoretteDuoTrio_Junior[J5 TOTAL],"&gt;"&amp;Majorette_Duo_MajoretteDuoTrio_Junior[[#This Row],[J5 TOTAL]])+1</f>
        <v>1</v>
      </c>
      <c r="AC3" s="24">
        <f>SUM(Majorette_Duo_MajoretteDuoTrio_Junior[[#This Row],[J1 TOTAL]]+Majorette_Duo_MajoretteDuoTrio_Junior[[#This Row],[J2 TOTAL]]+Majorette_Duo_MajoretteDuoTrio_Junior[[#This Row],[J3 TOTAL]]+Majorette_Duo_MajoretteDuoTrio_Junior[[#This Row],[J4 TOTAL]])+Majorette_Duo_MajoretteDuoTrio_Junior[[#This Row],[J5 TOTAL]]</f>
        <v>42.4</v>
      </c>
      <c r="AD3" s="24"/>
      <c r="AE3" s="24"/>
      <c r="AF3" s="24">
        <f>SUM(Majorette_Duo_MajoretteDuoTrio_Junior[[#This Row],[Total]]-Majorette_Duo_MajoretteDuoTrio_Junior[[#This Row],[Low]]-Majorette_Duo_MajoretteDuoTrio_Junior[[#This Row],[High]])</f>
        <v>42.4</v>
      </c>
      <c r="AG3" s="24">
        <f>AVERAGE(I3,M3,Q3,U3,Y3)</f>
        <v>15.633333333333333</v>
      </c>
      <c r="AH3" s="25">
        <f>Majorette_Duo_MajoretteDuoTrio_Junior[[#This Row],[Final Total]]</f>
        <v>42.4</v>
      </c>
      <c r="AI3" s="28">
        <f>COUNTIFS(Majorette_Duo_MajoretteDuoTrio_Junior[Age
Division],Majorette_Duo_MajoretteDuoTrio_Junior[[#This Row],[Age
Division]],Majorette_Duo_MajoretteDuoTrio_Junior[Category],Majorette_Duo_MajoretteDuoTrio_Junior[[#This Row],[Category]],Majorette_Duo_MajoretteDuoTrio_Junior[FINAL SCORE],"&gt;"&amp;Majorette_Duo_MajoretteDuoTrio_Junior[[#This Row],[FINAL SCORE]])+1</f>
        <v>2</v>
      </c>
      <c r="AJ3" s="16" t="s">
        <v>118</v>
      </c>
    </row>
  </sheetData>
  <sheetProtection algorithmName="SHA-512" hashValue="9k6IjUdhGEjQkUueChXyvhYxETT2PQR+Dtg9JWHseqhYADE973sMnmWNMHp7B9b06LI4DtFvM0utH5zszaeCVw==" saltValue="mRc8JLuCsp8r7HsqMbkDrQ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89BE-6A7C-4A42-A9A9-27C1CB34CC43}">
  <dimension ref="A1:BC2"/>
  <sheetViews>
    <sheetView zoomScale="80" zoomScaleNormal="80" workbookViewId="0">
      <pane xSplit="8" topLeftCell="Q1" activePane="topRight" state="frozen"/>
      <selection activeCell="G18" sqref="G18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6.44140625" style="29" customWidth="1"/>
    <col min="4" max="4" width="8.33203125" style="30" customWidth="1"/>
    <col min="5" max="5" width="16.33203125" style="30" hidden="1" customWidth="1"/>
    <col min="6" max="6" width="24.77734375" style="19" customWidth="1"/>
    <col min="7" max="7" width="27" style="19" customWidth="1"/>
    <col min="8" max="8" width="7.88671875" style="19" customWidth="1"/>
    <col min="9" max="16" width="9.109375" style="19" hidden="1" customWidth="1"/>
    <col min="17" max="28" width="9.109375" style="19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91</v>
      </c>
      <c r="B2" s="17">
        <v>2</v>
      </c>
      <c r="C2" s="17" t="s">
        <v>79</v>
      </c>
      <c r="D2" s="17" t="s">
        <v>29</v>
      </c>
      <c r="E2" s="17"/>
      <c r="F2" s="17" t="s">
        <v>80</v>
      </c>
      <c r="G2" s="17" t="s">
        <v>55</v>
      </c>
      <c r="H2" s="31" t="s">
        <v>25</v>
      </c>
      <c r="I2" s="20"/>
      <c r="J2" s="21"/>
      <c r="K2" s="22">
        <f>Majorette_Duo_MajoretteDuoTrio_Senior[[#This Row],[Judge 1
Tamara Beljak]]-J2</f>
        <v>0</v>
      </c>
      <c r="L2" s="23">
        <f>COUNTIFS(Majorette_Duo_MajoretteDuoTrio_Senior[Age
Division],Majorette_Duo_MajoretteDuoTrio_Senior[[#This Row],[Age
Division]],Majorette_Duo_MajoretteDuoTrio_Senior[Category],Majorette_Duo_MajoretteDuoTrio_Senior[[#This Row],[Category]],Majorette_Duo_MajoretteDuoTrio_Senior[J1 TOTAL],"&gt;"&amp;Majorette_Duo_MajoretteDuoTrio_Senior[[#This Row],[J1 TOTAL]])+1</f>
        <v>1</v>
      </c>
      <c r="M2" s="20"/>
      <c r="N2" s="21"/>
      <c r="O2" s="22">
        <f>Majorette_Duo_MajoretteDuoTrio_Senior[[#This Row],[Judge 2
Tihomir Bendelja]]-Majorette_Duo_MajoretteDuoTrio_Senior[[#This Row],[J2 (-)]]</f>
        <v>0</v>
      </c>
      <c r="P2" s="23">
        <f>COUNTIFS(Majorette_Duo_MajoretteDuoTrio_Senior[Age
Division],Majorette_Duo_MajoretteDuoTrio_Senior[[#This Row],[Age
Division]],Majorette_Duo_MajoretteDuoTrio_Senior[Category],Majorette_Duo_MajoretteDuoTrio_Senior[[#This Row],[Category]],Majorette_Duo_MajoretteDuoTrio_Senior[J2 TOTAL],"&gt;"&amp;Majorette_Duo_MajoretteDuoTrio_Senior[[#This Row],[J2 TOTAL]])+1</f>
        <v>1</v>
      </c>
      <c r="Q2" s="20">
        <v>30.9</v>
      </c>
      <c r="R2" s="21">
        <v>0</v>
      </c>
      <c r="S2" s="22">
        <f>Majorette_Duo_MajoretteDuoTrio_Senior[[#This Row],[Judge 3
Tea Softić]]-R2</f>
        <v>30.9</v>
      </c>
      <c r="T2" s="23">
        <f>COUNTIFS(Majorette_Duo_MajoretteDuoTrio_Senior[Age
Division],Majorette_Duo_MajoretteDuoTrio_Senior[[#This Row],[Age
Division]],Majorette_Duo_MajoretteDuoTrio_Senior[Category],Majorette_Duo_MajoretteDuoTrio_Senior[[#This Row],[Category]],Majorette_Duo_MajoretteDuoTrio_Senior[J3 TOTAL],"&gt;"&amp;Majorette_Duo_MajoretteDuoTrio_Senior[[#This Row],[J3 TOTAL]])+1</f>
        <v>1</v>
      </c>
      <c r="U2" s="20">
        <v>33</v>
      </c>
      <c r="V2" s="21">
        <v>0</v>
      </c>
      <c r="W2" s="22">
        <f>Majorette_Duo_MajoretteDuoTrio_Senior[[#This Row],[Judge 4
Bernard Barač]]-V2</f>
        <v>33</v>
      </c>
      <c r="X2" s="23">
        <f>COUNTIFS(Majorette_Duo_MajoretteDuoTrio_Senior[Age
Division],Majorette_Duo_MajoretteDuoTrio_Senior[[#This Row],[Age
Division]],Majorette_Duo_MajoretteDuoTrio_Senior[Category],Majorette_Duo_MajoretteDuoTrio_Senior[[#This Row],[Category]],Majorette_Duo_MajoretteDuoTrio_Senior[J4 TOTAL],"&gt;"&amp;Majorette_Duo_MajoretteDuoTrio_Senior[[#This Row],[J4 TOTAL]])+1</f>
        <v>1</v>
      </c>
      <c r="Y2" s="20">
        <v>28.7</v>
      </c>
      <c r="Z2" s="21">
        <v>0</v>
      </c>
      <c r="AA2" s="22">
        <f>Majorette_Duo_MajoretteDuoTrio_Senior[[#This Row],[Judge 5
Barbara Novina]]-Z2</f>
        <v>28.7</v>
      </c>
      <c r="AB2" s="23">
        <f>COUNTIFS(Majorette_Duo_MajoretteDuoTrio_Senior[Age
Division],Majorette_Duo_MajoretteDuoTrio_Senior[[#This Row],[Age
Division]],Majorette_Duo_MajoretteDuoTrio_Senior[Category],Majorette_Duo_MajoretteDuoTrio_Senior[[#This Row],[Category]],Majorette_Duo_MajoretteDuoTrio_Senior[J5 TOTAL],"&gt;"&amp;Majorette_Duo_MajoretteDuoTrio_Senior[[#This Row],[J5 TOTAL]])+1</f>
        <v>1</v>
      </c>
      <c r="AC2" s="24">
        <f>SUM(Majorette_Duo_MajoretteDuoTrio_Senior[[#This Row],[J1 TOTAL]]+Majorette_Duo_MajoretteDuoTrio_Senior[[#This Row],[J2 TOTAL]]+Majorette_Duo_MajoretteDuoTrio_Senior[[#This Row],[J3 TOTAL]]+Majorette_Duo_MajoretteDuoTrio_Senior[[#This Row],[J4 TOTAL]])+Majorette_Duo_MajoretteDuoTrio_Senior[[#This Row],[J5 TOTAL]]</f>
        <v>92.6</v>
      </c>
      <c r="AD2" s="24"/>
      <c r="AE2" s="24"/>
      <c r="AF2" s="24">
        <f>SUM(Majorette_Duo_MajoretteDuoTrio_Senior[[#This Row],[Total]]-Majorette_Duo_MajoretteDuoTrio_Senior[[#This Row],[Low]]-Majorette_Duo_MajoretteDuoTrio_Senior[[#This Row],[High]])</f>
        <v>92.6</v>
      </c>
      <c r="AG2" s="24">
        <f>AVERAGE(I2,M2,Q2,U2,Y2)</f>
        <v>30.866666666666664</v>
      </c>
      <c r="AH2" s="25">
        <f>Majorette_Duo_MajoretteDuoTrio_Senior[[#This Row],[Final Total]]</f>
        <v>92.6</v>
      </c>
      <c r="AI2" s="28">
        <f>COUNTIFS(Majorette_Duo_MajoretteDuoTrio_Senior[Age
Division],Majorette_Duo_MajoretteDuoTrio_Senior[[#This Row],[Age
Division]],Majorette_Duo_MajoretteDuoTrio_Senior[Category],Majorette_Duo_MajoretteDuoTrio_Senior[[#This Row],[Category]],Majorette_Duo_MajoretteDuoTrio_Senior[FINAL SCORE],"&gt;"&amp;Majorette_Duo_MajoretteDuoTrio_Senior[[#This Row],[FINAL SCORE]])+1</f>
        <v>1</v>
      </c>
      <c r="AJ2" s="16" t="s">
        <v>118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CBL8BYgw2Np0COUKe7JPn61JficBQnl8wAVmvvjKy+xNxjSpMlQ3V2xL8gmhwWrtI2A4h8+YtmYQYEVp4I/ClQ==" saltValue="VeG9w+d6O9CvY85axILX9g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2A012-1ECC-452C-A96C-41DB2E3EF69E}">
  <dimension ref="A1:BC3"/>
  <sheetViews>
    <sheetView zoomScale="80" zoomScaleNormal="80" workbookViewId="0">
      <pane xSplit="8" topLeftCell="I1" activePane="topRight" state="frozen"/>
      <selection activeCell="G18" sqref="G18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3.88671875" style="29" customWidth="1"/>
    <col min="4" max="4" width="10" style="30" customWidth="1"/>
    <col min="5" max="5" width="16.33203125" style="30" hidden="1" customWidth="1"/>
    <col min="6" max="6" width="21.44140625" style="19" customWidth="1"/>
    <col min="7" max="7" width="40.21875" style="19" customWidth="1"/>
    <col min="8" max="8" width="9.21875" style="19" customWidth="1"/>
    <col min="9" max="16" width="9.109375" style="19" hidden="1" customWidth="1"/>
    <col min="17" max="28" width="9.109375" style="19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66</v>
      </c>
      <c r="B2" s="17">
        <v>2</v>
      </c>
      <c r="C2" s="17" t="s">
        <v>94</v>
      </c>
      <c r="D2" s="17" t="s">
        <v>30</v>
      </c>
      <c r="E2" s="18"/>
      <c r="F2" s="17" t="s">
        <v>96</v>
      </c>
      <c r="G2" s="17" t="s">
        <v>93</v>
      </c>
      <c r="H2" s="19" t="s">
        <v>25</v>
      </c>
      <c r="I2" s="20"/>
      <c r="J2" s="21"/>
      <c r="K2" s="22">
        <f>Majorette_Duo_AccessoriesDuo_Children[[#This Row],[Judge 1
Tamara Beljak]]-J2</f>
        <v>0</v>
      </c>
      <c r="L2" s="23">
        <f>COUNTIFS(Majorette_Duo_AccessoriesDuo_Children[Age
Division],Majorette_Duo_AccessoriesDuo_Children[[#This Row],[Age
Division]],Majorette_Duo_AccessoriesDuo_Children[Category],Majorette_Duo_AccessoriesDuo_Children[[#This Row],[Category]],Majorette_Duo_AccessoriesDuo_Children[J1 TOTAL],"&gt;"&amp;Majorette_Duo_AccessoriesDuo_Children[[#This Row],[J1 TOTAL]])+1</f>
        <v>1</v>
      </c>
      <c r="M2" s="20"/>
      <c r="N2" s="21"/>
      <c r="O2" s="22">
        <f>Majorette_Duo_AccessoriesDuo_Children[[#This Row],[Judge 2
Tihomir Bendelja]]-Majorette_Duo_AccessoriesDuo_Children[[#This Row],[J2 (-)]]</f>
        <v>0</v>
      </c>
      <c r="P2" s="23">
        <f>COUNTIFS(Majorette_Duo_AccessoriesDuo_Children[Age
Division],Majorette_Duo_AccessoriesDuo_Children[[#This Row],[Age
Division]],Majorette_Duo_AccessoriesDuo_Children[Category],Majorette_Duo_AccessoriesDuo_Children[[#This Row],[Category]],Majorette_Duo_AccessoriesDuo_Children[J2 TOTAL],"&gt;"&amp;Majorette_Duo_AccessoriesDuo_Children[[#This Row],[J2 TOTAL]])+1</f>
        <v>1</v>
      </c>
      <c r="Q2" s="20">
        <v>16.600000000000001</v>
      </c>
      <c r="R2" s="21">
        <v>2</v>
      </c>
      <c r="S2" s="22">
        <f>Majorette_Duo_AccessoriesDuo_Children[[#This Row],[Judge 3
Tea Softić]]-R2</f>
        <v>14.600000000000001</v>
      </c>
      <c r="T2" s="23">
        <f>COUNTIFS(Majorette_Duo_AccessoriesDuo_Children[Age
Division],Majorette_Duo_AccessoriesDuo_Children[[#This Row],[Age
Division]],Majorette_Duo_AccessoriesDuo_Children[Category],Majorette_Duo_AccessoriesDuo_Children[[#This Row],[Category]],Majorette_Duo_AccessoriesDuo_Children[J3 TOTAL],"&gt;"&amp;Majorette_Duo_AccessoriesDuo_Children[[#This Row],[J3 TOTAL]])+1</f>
        <v>1</v>
      </c>
      <c r="U2" s="20">
        <v>18.8</v>
      </c>
      <c r="V2" s="21">
        <v>2</v>
      </c>
      <c r="W2" s="22">
        <f>Majorette_Duo_AccessoriesDuo_Children[[#This Row],[Judge 4
Bernard Barač]]-V2</f>
        <v>16.8</v>
      </c>
      <c r="X2" s="23">
        <f>COUNTIFS(Majorette_Duo_AccessoriesDuo_Children[Age
Division],Majorette_Duo_AccessoriesDuo_Children[[#This Row],[Age
Division]],Majorette_Duo_AccessoriesDuo_Children[Category],Majorette_Duo_AccessoriesDuo_Children[[#This Row],[Category]],Majorette_Duo_AccessoriesDuo_Children[J4 TOTAL],"&gt;"&amp;Majorette_Duo_AccessoriesDuo_Children[[#This Row],[J4 TOTAL]])+1</f>
        <v>1</v>
      </c>
      <c r="Y2" s="20">
        <v>12</v>
      </c>
      <c r="Z2" s="21">
        <v>2</v>
      </c>
      <c r="AA2" s="22">
        <f>Majorette_Duo_AccessoriesDuo_Children[[#This Row],[Judge 5
Barbara Novina]]-Z2</f>
        <v>10</v>
      </c>
      <c r="AB2" s="23">
        <f>COUNTIFS(Majorette_Duo_AccessoriesDuo_Children[Age
Division],Majorette_Duo_AccessoriesDuo_Children[[#This Row],[Age
Division]],Majorette_Duo_AccessoriesDuo_Children[Category],Majorette_Duo_AccessoriesDuo_Children[[#This Row],[Category]],Majorette_Duo_AccessoriesDuo_Children[J5 TOTAL],"&gt;"&amp;Majorette_Duo_AccessoriesDuo_Children[[#This Row],[J5 TOTAL]])+1</f>
        <v>1</v>
      </c>
      <c r="AC2" s="24">
        <f>SUM(Majorette_Duo_AccessoriesDuo_Children[[#This Row],[J1 TOTAL]]+Majorette_Duo_AccessoriesDuo_Children[[#This Row],[J2 TOTAL]]+Majorette_Duo_AccessoriesDuo_Children[[#This Row],[J3 TOTAL]]+Majorette_Duo_AccessoriesDuo_Children[[#This Row],[J4 TOTAL]])+Majorette_Duo_AccessoriesDuo_Children[[#This Row],[J5 TOTAL]]</f>
        <v>41.400000000000006</v>
      </c>
      <c r="AD2" s="24"/>
      <c r="AE2" s="24"/>
      <c r="AF2" s="24">
        <f>SUM(Majorette_Duo_AccessoriesDuo_Children[[#This Row],[Total]]-Majorette_Duo_AccessoriesDuo_Children[[#This Row],[Low]]-Majorette_Duo_AccessoriesDuo_Children[[#This Row],[High]])</f>
        <v>41.400000000000006</v>
      </c>
      <c r="AG2" s="24">
        <f>AVERAGE(I2,M2,Q2,U2,Y2)</f>
        <v>15.800000000000002</v>
      </c>
      <c r="AH2" s="25">
        <f>Majorette_Duo_AccessoriesDuo_Children[[#This Row],[Final Total]]</f>
        <v>41.400000000000006</v>
      </c>
      <c r="AI2" s="26">
        <f>COUNTIFS(Majorette_Duo_AccessoriesDuo_Children[Age
Division],Majorette_Duo_AccessoriesDuo_Children[[#This Row],[Age
Division]],Majorette_Duo_AccessoriesDuo_Children[Category],Majorette_Duo_AccessoriesDuo_Children[[#This Row],[Category]],Majorette_Duo_AccessoriesDuo_Children[FINAL SCORE],"&gt;"&amp;Majorette_Duo_AccessoriesDuo_Children[[#This Row],[FINAL SCORE]])+1</f>
        <v>1</v>
      </c>
      <c r="AJ2" s="16" t="s">
        <v>118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64</v>
      </c>
      <c r="B3" s="17">
        <v>2</v>
      </c>
      <c r="C3" s="17" t="s">
        <v>94</v>
      </c>
      <c r="D3" s="17" t="s">
        <v>30</v>
      </c>
      <c r="E3" s="17"/>
      <c r="F3" s="17" t="s">
        <v>95</v>
      </c>
      <c r="G3" s="17" t="s">
        <v>83</v>
      </c>
      <c r="H3" s="19" t="s">
        <v>28</v>
      </c>
      <c r="I3" s="20"/>
      <c r="J3" s="21"/>
      <c r="K3" s="22">
        <f>Majorette_Duo_AccessoriesDuo_Children[[#This Row],[Judge 1
Tamara Beljak]]-J3</f>
        <v>0</v>
      </c>
      <c r="L3" s="23">
        <f>COUNTIFS(Majorette_Duo_AccessoriesDuo_Children[Age
Division],Majorette_Duo_AccessoriesDuo_Children[[#This Row],[Age
Division]],Majorette_Duo_AccessoriesDuo_Children[Category],Majorette_Duo_AccessoriesDuo_Children[[#This Row],[Category]],Majorette_Duo_AccessoriesDuo_Children[J1 TOTAL],"&gt;"&amp;Majorette_Duo_AccessoriesDuo_Children[[#This Row],[J1 TOTAL]])+1</f>
        <v>1</v>
      </c>
      <c r="M3" s="20"/>
      <c r="N3" s="21"/>
      <c r="O3" s="22">
        <f>Majorette_Duo_AccessoriesDuo_Children[[#This Row],[Judge 2
Tihomir Bendelja]]-Majorette_Duo_AccessoriesDuo_Children[[#This Row],[J2 (-)]]</f>
        <v>0</v>
      </c>
      <c r="P3" s="23">
        <f>COUNTIFS(Majorette_Duo_AccessoriesDuo_Children[Age
Division],Majorette_Duo_AccessoriesDuo_Children[[#This Row],[Age
Division]],Majorette_Duo_AccessoriesDuo_Children[Category],Majorette_Duo_AccessoriesDuo_Children[[#This Row],[Category]],Majorette_Duo_AccessoriesDuo_Children[J2 TOTAL],"&gt;"&amp;Majorette_Duo_AccessoriesDuo_Children[[#This Row],[J2 TOTAL]])+1</f>
        <v>1</v>
      </c>
      <c r="Q3" s="20">
        <v>15</v>
      </c>
      <c r="R3" s="21">
        <v>0.5</v>
      </c>
      <c r="S3" s="22">
        <f>Majorette_Duo_AccessoriesDuo_Children[[#This Row],[Judge 3
Tea Softić]]-R3</f>
        <v>14.5</v>
      </c>
      <c r="T3" s="23">
        <f>COUNTIFS(Majorette_Duo_AccessoriesDuo_Children[Age
Division],Majorette_Duo_AccessoriesDuo_Children[[#This Row],[Age
Division]],Majorette_Duo_AccessoriesDuo_Children[Category],Majorette_Duo_AccessoriesDuo_Children[[#This Row],[Category]],Majorette_Duo_AccessoriesDuo_Children[J3 TOTAL],"&gt;"&amp;Majorette_Duo_AccessoriesDuo_Children[[#This Row],[J3 TOTAL]])+1</f>
        <v>2</v>
      </c>
      <c r="U3" s="20">
        <v>14.5</v>
      </c>
      <c r="V3" s="21">
        <v>0.5</v>
      </c>
      <c r="W3" s="22">
        <f>Majorette_Duo_AccessoriesDuo_Children[[#This Row],[Judge 4
Bernard Barač]]-V3</f>
        <v>14</v>
      </c>
      <c r="X3" s="23">
        <f>COUNTIFS(Majorette_Duo_AccessoriesDuo_Children[Age
Division],Majorette_Duo_AccessoriesDuo_Children[[#This Row],[Age
Division]],Majorette_Duo_AccessoriesDuo_Children[Category],Majorette_Duo_AccessoriesDuo_Children[[#This Row],[Category]],Majorette_Duo_AccessoriesDuo_Children[J4 TOTAL],"&gt;"&amp;Majorette_Duo_AccessoriesDuo_Children[[#This Row],[J4 TOTAL]])+1</f>
        <v>2</v>
      </c>
      <c r="Y3" s="20">
        <v>10.9</v>
      </c>
      <c r="Z3" s="21">
        <v>1</v>
      </c>
      <c r="AA3" s="22">
        <f>Majorette_Duo_AccessoriesDuo_Children[[#This Row],[Judge 5
Barbara Novina]]-Z3</f>
        <v>9.9</v>
      </c>
      <c r="AB3" s="23">
        <f>COUNTIFS(Majorette_Duo_AccessoriesDuo_Children[Age
Division],Majorette_Duo_AccessoriesDuo_Children[[#This Row],[Age
Division]],Majorette_Duo_AccessoriesDuo_Children[Category],Majorette_Duo_AccessoriesDuo_Children[[#This Row],[Category]],Majorette_Duo_AccessoriesDuo_Children[J5 TOTAL],"&gt;"&amp;Majorette_Duo_AccessoriesDuo_Children[[#This Row],[J5 TOTAL]])+1</f>
        <v>2</v>
      </c>
      <c r="AC3" s="24">
        <f>SUM(Majorette_Duo_AccessoriesDuo_Children[[#This Row],[J1 TOTAL]]+Majorette_Duo_AccessoriesDuo_Children[[#This Row],[J2 TOTAL]]+Majorette_Duo_AccessoriesDuo_Children[[#This Row],[J3 TOTAL]]+Majorette_Duo_AccessoriesDuo_Children[[#This Row],[J4 TOTAL]])+Majorette_Duo_AccessoriesDuo_Children[[#This Row],[J5 TOTAL]]</f>
        <v>38.4</v>
      </c>
      <c r="AD3" s="24"/>
      <c r="AE3" s="24"/>
      <c r="AF3" s="24">
        <f>SUM(Majorette_Duo_AccessoriesDuo_Children[[#This Row],[Total]]-Majorette_Duo_AccessoriesDuo_Children[[#This Row],[Low]]-Majorette_Duo_AccessoriesDuo_Children[[#This Row],[High]])</f>
        <v>38.4</v>
      </c>
      <c r="AG3" s="24">
        <f>AVERAGE(I3,M3,Q3,U3,Y3)</f>
        <v>13.466666666666667</v>
      </c>
      <c r="AH3" s="25">
        <f>Majorette_Duo_AccessoriesDuo_Children[[#This Row],[Final Total]]</f>
        <v>38.4</v>
      </c>
      <c r="AI3" s="28">
        <f>COUNTIFS(Majorette_Duo_AccessoriesDuo_Children[Age
Division],Majorette_Duo_AccessoriesDuo_Children[[#This Row],[Age
Division]],Majorette_Duo_AccessoriesDuo_Children[Category],Majorette_Duo_AccessoriesDuo_Children[[#This Row],[Category]],Majorette_Duo_AccessoriesDuo_Children[FINAL SCORE],"&gt;"&amp;Majorette_Duo_AccessoriesDuo_Children[[#This Row],[FINAL SCORE]])+1</f>
        <v>2</v>
      </c>
      <c r="AJ3" s="16" t="s">
        <v>118</v>
      </c>
    </row>
  </sheetData>
  <sheetProtection algorithmName="SHA-512" hashValue="AF//Tot5s3pf+BwMZ3BrY9FTBHb9N6Wz1biPGrMV7+xS8VPYaEa2osxW80YdY6HXYeNuAxDVXx80cx42/ARRUg==" saltValue="VEjtJRuXQs6lN8lAY0jM6Q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77978-96AA-4061-BD70-A17001813833}">
  <dimension ref="A1:BC8"/>
  <sheetViews>
    <sheetView zoomScale="80" zoomScaleNormal="80" workbookViewId="0">
      <pane xSplit="8" topLeftCell="I1" activePane="topRight" state="frozen"/>
      <selection activeCell="G18" sqref="G18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3.77734375" style="29" customWidth="1"/>
    <col min="3" max="3" width="14.21875" style="29" customWidth="1"/>
    <col min="4" max="4" width="7.109375" style="30" customWidth="1"/>
    <col min="5" max="5" width="16.33203125" style="30" hidden="1" customWidth="1"/>
    <col min="6" max="6" width="23.44140625" style="19" customWidth="1"/>
    <col min="7" max="7" width="45.109375" style="19" customWidth="1"/>
    <col min="8" max="8" width="8.33203125" style="19" customWidth="1"/>
    <col min="9" max="16" width="9.109375" style="19" customWidth="1"/>
    <col min="17" max="28" width="9.109375" style="19" hidden="1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73</v>
      </c>
      <c r="B2" s="17">
        <v>1</v>
      </c>
      <c r="C2" s="17" t="s">
        <v>94</v>
      </c>
      <c r="D2" s="17" t="s">
        <v>23</v>
      </c>
      <c r="E2" s="18"/>
      <c r="F2" s="17" t="s">
        <v>103</v>
      </c>
      <c r="G2" s="27" t="s">
        <v>91</v>
      </c>
      <c r="H2" s="19" t="s">
        <v>28</v>
      </c>
      <c r="I2" s="20">
        <v>28.5</v>
      </c>
      <c r="J2" s="21">
        <v>0.5</v>
      </c>
      <c r="K2" s="22">
        <f>Majorette_Duo_AccessoriesDuo_Cadet[[#This Row],[Judge 1
Tamara Beljak]]-J2</f>
        <v>28</v>
      </c>
      <c r="L2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Row],[Category]],Majorette_Duo_AccessoriesDuo_Cadet[J1 TOTAL],"&gt;"&amp;Majorette_Duo_AccessoriesDuo_Cadet[[#This Row],[J1 TOTAL]])+1</f>
        <v>1</v>
      </c>
      <c r="M2" s="20">
        <v>30.5</v>
      </c>
      <c r="N2" s="21">
        <v>0.5</v>
      </c>
      <c r="O2" s="22">
        <f>Majorette_Duo_AccessoriesDuo_Cadet[[#This Row],[Judge 2
Tihomir Bendelja]]-Majorette_Duo_AccessoriesDuo_Cadet[[#This Row],[J2 (-)]]</f>
        <v>30</v>
      </c>
      <c r="P2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Row],[Category]],Majorette_Duo_AccessoriesDuo_Cadet[J2 TOTAL],"&gt;"&amp;Majorette_Duo_AccessoriesDuo_Cadet[[#This Row],[J2 TOTAL]])+1</f>
        <v>1</v>
      </c>
      <c r="Q2" s="20"/>
      <c r="R2" s="21"/>
      <c r="S2" s="22">
        <f>Majorette_Duo_AccessoriesDuo_Cadet[[#This Row],[Judge 3
Tea Softić]]-R2</f>
        <v>0</v>
      </c>
      <c r="T2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Row],[Category]],Majorette_Duo_AccessoriesDuo_Cadet[J3 TOTAL],"&gt;"&amp;Majorette_Duo_AccessoriesDuo_Cadet[[#This Row],[J3 TOTAL]])+1</f>
        <v>1</v>
      </c>
      <c r="U2" s="20"/>
      <c r="V2" s="21"/>
      <c r="W2" s="22">
        <f>Majorette_Duo_AccessoriesDuo_Cadet[[#This Row],[Judge 4
Bernard Barač]]-V2</f>
        <v>0</v>
      </c>
      <c r="X2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Row],[Category]],Majorette_Duo_AccessoriesDuo_Cadet[J4 TOTAL],"&gt;"&amp;Majorette_Duo_AccessoriesDuo_Cadet[[#This Row],[J4 TOTAL]])+1</f>
        <v>1</v>
      </c>
      <c r="Y2" s="20"/>
      <c r="Z2" s="21"/>
      <c r="AA2" s="22">
        <f>Majorette_Duo_AccessoriesDuo_Cadet[[#This Row],[Judge 5
Barbara Novina]]-Z2</f>
        <v>0</v>
      </c>
      <c r="AB2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Row],[Category]],Majorette_Duo_AccessoriesDuo_Cadet[J5 TOTAL],"&gt;"&amp;Majorette_Duo_AccessoriesDuo_Cadet[[#This Row],[J5 TOTAL]])+1</f>
        <v>1</v>
      </c>
      <c r="AC2" s="24">
        <f>SUM(Majorette_Duo_AccessoriesDuo_Cadet[[#This Row],[J1 TOTAL]]+Majorette_Duo_AccessoriesDuo_Cadet[[#This Row],[J2 TOTAL]]+Majorette_Duo_AccessoriesDuo_Cadet[[#This Row],[J3 TOTAL]]+Majorette_Duo_AccessoriesDuo_Cadet[[#This Row],[J4 TOTAL]])+Majorette_Duo_AccessoriesDuo_Cadet[[#This Row],[J5 TOTAL]]</f>
        <v>58</v>
      </c>
      <c r="AD2" s="24"/>
      <c r="AE2" s="24"/>
      <c r="AF2" s="24">
        <f>SUM(Majorette_Duo_AccessoriesDuo_Cadet[[#This Row],[Total]]-Majorette_Duo_AccessoriesDuo_Cadet[[#This Row],[Low]]-Majorette_Duo_AccessoriesDuo_Cadet[[#This Row],[High]])</f>
        <v>58</v>
      </c>
      <c r="AG2" s="24">
        <f t="shared" ref="AG2:AG8" si="0">AVERAGE(I2,M2,Q2,U2,Y2)</f>
        <v>29.5</v>
      </c>
      <c r="AH2" s="25">
        <f>Majorette_Duo_AccessoriesDuo_Cadet[[#This Row],[Final Total]]</f>
        <v>58</v>
      </c>
      <c r="AI2" s="26">
        <f>COUNTIFS(Majorette_Duo_AccessoriesDuo_Cadet[Age
Division],Majorette_Duo_AccessoriesDuo_Cadet[[#This Row],[Age
Division]],Majorette_Duo_AccessoriesDuo_Cadet[Category],Majorette_Duo_AccessoriesDuo_Cadet[[#This Row],[Category]],Majorette_Duo_AccessoriesDuo_Cadet[FINAL SCORE],"&gt;"&amp;Majorette_Duo_AccessoriesDuo_Cadet[[#This Row],[FINAL SCORE]])+1</f>
        <v>1</v>
      </c>
      <c r="AJ2" s="16" t="s">
        <v>118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71</v>
      </c>
      <c r="B3" s="17">
        <v>1</v>
      </c>
      <c r="C3" s="17" t="s">
        <v>94</v>
      </c>
      <c r="D3" s="17" t="s">
        <v>23</v>
      </c>
      <c r="E3" s="18"/>
      <c r="F3" s="17" t="s">
        <v>102</v>
      </c>
      <c r="G3" s="27" t="s">
        <v>93</v>
      </c>
      <c r="H3" s="19" t="s">
        <v>25</v>
      </c>
      <c r="I3" s="20">
        <v>22.4</v>
      </c>
      <c r="J3" s="21">
        <v>1</v>
      </c>
      <c r="K3" s="22">
        <f>Majorette_Duo_AccessoriesDuo_Cadet[[#This Row],[Judge 1
Tamara Beljak]]-J3</f>
        <v>21.4</v>
      </c>
      <c r="L3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Row],[Category]],Majorette_Duo_AccessoriesDuo_Cadet[J1 TOTAL],"&gt;"&amp;Majorette_Duo_AccessoriesDuo_Cadet[[#This Row],[J1 TOTAL]])+1</f>
        <v>2</v>
      </c>
      <c r="M3" s="20">
        <v>20.2</v>
      </c>
      <c r="N3" s="21">
        <v>1</v>
      </c>
      <c r="O3" s="22">
        <f>Majorette_Duo_AccessoriesDuo_Cadet[[#This Row],[Judge 2
Tihomir Bendelja]]-Majorette_Duo_AccessoriesDuo_Cadet[[#This Row],[J2 (-)]]</f>
        <v>19.2</v>
      </c>
      <c r="P3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Row],[Category]],Majorette_Duo_AccessoriesDuo_Cadet[J2 TOTAL],"&gt;"&amp;Majorette_Duo_AccessoriesDuo_Cadet[[#This Row],[J2 TOTAL]])+1</f>
        <v>2</v>
      </c>
      <c r="Q3" s="20"/>
      <c r="R3" s="21"/>
      <c r="S3" s="22">
        <f>Majorette_Duo_AccessoriesDuo_Cadet[[#This Row],[Judge 3
Tea Softić]]-R3</f>
        <v>0</v>
      </c>
      <c r="T3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Row],[Category]],Majorette_Duo_AccessoriesDuo_Cadet[J3 TOTAL],"&gt;"&amp;Majorette_Duo_AccessoriesDuo_Cadet[[#This Row],[J3 TOTAL]])+1</f>
        <v>1</v>
      </c>
      <c r="U3" s="20"/>
      <c r="V3" s="21"/>
      <c r="W3" s="22">
        <f>Majorette_Duo_AccessoriesDuo_Cadet[[#This Row],[Judge 4
Bernard Barač]]-V3</f>
        <v>0</v>
      </c>
      <c r="X3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Row],[Category]],Majorette_Duo_AccessoriesDuo_Cadet[J4 TOTAL],"&gt;"&amp;Majorette_Duo_AccessoriesDuo_Cadet[[#This Row],[J4 TOTAL]])+1</f>
        <v>1</v>
      </c>
      <c r="Y3" s="20"/>
      <c r="Z3" s="21"/>
      <c r="AA3" s="22">
        <f>Majorette_Duo_AccessoriesDuo_Cadet[[#This Row],[Judge 5
Barbara Novina]]-Z3</f>
        <v>0</v>
      </c>
      <c r="AB3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Row],[Category]],Majorette_Duo_AccessoriesDuo_Cadet[J5 TOTAL],"&gt;"&amp;Majorette_Duo_AccessoriesDuo_Cadet[[#This Row],[J5 TOTAL]])+1</f>
        <v>1</v>
      </c>
      <c r="AC3" s="24">
        <f>SUM(Majorette_Duo_AccessoriesDuo_Cadet[[#This Row],[J1 TOTAL]]+Majorette_Duo_AccessoriesDuo_Cadet[[#This Row],[J2 TOTAL]]+Majorette_Duo_AccessoriesDuo_Cadet[[#This Row],[J3 TOTAL]]+Majorette_Duo_AccessoriesDuo_Cadet[[#This Row],[J4 TOTAL]])+Majorette_Duo_AccessoriesDuo_Cadet[[#This Row],[J5 TOTAL]]</f>
        <v>40.599999999999994</v>
      </c>
      <c r="AD3" s="24"/>
      <c r="AE3" s="24"/>
      <c r="AF3" s="24">
        <f>SUM(Majorette_Duo_AccessoriesDuo_Cadet[[#This Row],[Total]]-Majorette_Duo_AccessoriesDuo_Cadet[[#This Row],[Low]]-Majorette_Duo_AccessoriesDuo_Cadet[[#This Row],[High]])</f>
        <v>40.599999999999994</v>
      </c>
      <c r="AG3" s="24">
        <f t="shared" si="0"/>
        <v>21.299999999999997</v>
      </c>
      <c r="AH3" s="25">
        <f>Majorette_Duo_AccessoriesDuo_Cadet[[#This Row],[Final Total]]</f>
        <v>40.599999999999994</v>
      </c>
      <c r="AI3" s="26">
        <f>COUNTIFS(Majorette_Duo_AccessoriesDuo_Cadet[Age
Division],Majorette_Duo_AccessoriesDuo_Cadet[[#This Row],[Age
Division]],Majorette_Duo_AccessoriesDuo_Cadet[Category],Majorette_Duo_AccessoriesDuo_Cadet[[#This Row],[Category]],Majorette_Duo_AccessoriesDuo_Cadet[FINAL SCORE],"&gt;"&amp;Majorette_Duo_AccessoriesDuo_Cadet[[#This Row],[FINAL SCORE]])+1</f>
        <v>2</v>
      </c>
      <c r="AJ3" s="16" t="s">
        <v>118</v>
      </c>
    </row>
    <row r="4" spans="1:55" ht="15.6" x14ac:dyDescent="0.3">
      <c r="A4" s="16">
        <v>65</v>
      </c>
      <c r="B4" s="17">
        <v>1</v>
      </c>
      <c r="C4" s="17" t="s">
        <v>94</v>
      </c>
      <c r="D4" s="17" t="s">
        <v>23</v>
      </c>
      <c r="E4" s="18"/>
      <c r="F4" s="17" t="s">
        <v>99</v>
      </c>
      <c r="G4" s="27" t="s">
        <v>93</v>
      </c>
      <c r="H4" s="19" t="s">
        <v>25</v>
      </c>
      <c r="I4" s="20">
        <v>20.8</v>
      </c>
      <c r="J4" s="21">
        <v>3.5</v>
      </c>
      <c r="K4" s="22">
        <f>Majorette_Duo_AccessoriesDuo_Cadet[[#This Row],[Judge 1
Tamara Beljak]]-J4</f>
        <v>17.3</v>
      </c>
      <c r="L4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Row],[Category]],Majorette_Duo_AccessoriesDuo_Cadet[J1 TOTAL],"&gt;"&amp;Majorette_Duo_AccessoriesDuo_Cadet[[#This Row],[J1 TOTAL]])+1</f>
        <v>3</v>
      </c>
      <c r="M4" s="20">
        <v>19.3</v>
      </c>
      <c r="N4" s="21">
        <v>3.5</v>
      </c>
      <c r="O4" s="22">
        <f>Majorette_Duo_AccessoriesDuo_Cadet[[#This Row],[Judge 2
Tihomir Bendelja]]-Majorette_Duo_AccessoriesDuo_Cadet[[#This Row],[J2 (-)]]</f>
        <v>15.8</v>
      </c>
      <c r="P4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Row],[Category]],Majorette_Duo_AccessoriesDuo_Cadet[J2 TOTAL],"&gt;"&amp;Majorette_Duo_AccessoriesDuo_Cadet[[#This Row],[J2 TOTAL]])+1</f>
        <v>3</v>
      </c>
      <c r="Q4" s="20"/>
      <c r="R4" s="21"/>
      <c r="S4" s="22">
        <f>Majorette_Duo_AccessoriesDuo_Cadet[[#This Row],[Judge 3
Tea Softić]]-R4</f>
        <v>0</v>
      </c>
      <c r="T4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Row],[Category]],Majorette_Duo_AccessoriesDuo_Cadet[J3 TOTAL],"&gt;"&amp;Majorette_Duo_AccessoriesDuo_Cadet[[#This Row],[J3 TOTAL]])+1</f>
        <v>1</v>
      </c>
      <c r="U4" s="20"/>
      <c r="V4" s="21"/>
      <c r="W4" s="22">
        <f>Majorette_Duo_AccessoriesDuo_Cadet[[#This Row],[Judge 4
Bernard Barač]]-V4</f>
        <v>0</v>
      </c>
      <c r="X4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Row],[Category]],Majorette_Duo_AccessoriesDuo_Cadet[J4 TOTAL],"&gt;"&amp;Majorette_Duo_AccessoriesDuo_Cadet[[#This Row],[J4 TOTAL]])+1</f>
        <v>1</v>
      </c>
      <c r="Y4" s="20"/>
      <c r="Z4" s="21"/>
      <c r="AA4" s="22">
        <f>Majorette_Duo_AccessoriesDuo_Cadet[[#This Row],[Judge 5
Barbara Novina]]-Z4</f>
        <v>0</v>
      </c>
      <c r="AB4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Row],[Category]],Majorette_Duo_AccessoriesDuo_Cadet[J5 TOTAL],"&gt;"&amp;Majorette_Duo_AccessoriesDuo_Cadet[[#This Row],[J5 TOTAL]])+1</f>
        <v>1</v>
      </c>
      <c r="AC4" s="24">
        <f>SUM(Majorette_Duo_AccessoriesDuo_Cadet[[#This Row],[J1 TOTAL]]+Majorette_Duo_AccessoriesDuo_Cadet[[#This Row],[J2 TOTAL]]+Majorette_Duo_AccessoriesDuo_Cadet[[#This Row],[J3 TOTAL]]+Majorette_Duo_AccessoriesDuo_Cadet[[#This Row],[J4 TOTAL]])+Majorette_Duo_AccessoriesDuo_Cadet[[#This Row],[J5 TOTAL]]</f>
        <v>33.1</v>
      </c>
      <c r="AD4" s="24"/>
      <c r="AE4" s="24"/>
      <c r="AF4" s="24">
        <f>SUM(Majorette_Duo_AccessoriesDuo_Cadet[[#This Row],[Total]]-Majorette_Duo_AccessoriesDuo_Cadet[[#This Row],[Low]]-Majorette_Duo_AccessoriesDuo_Cadet[[#This Row],[High]])</f>
        <v>33.1</v>
      </c>
      <c r="AG4" s="24">
        <f t="shared" si="0"/>
        <v>20.05</v>
      </c>
      <c r="AH4" s="25">
        <f>Majorette_Duo_AccessoriesDuo_Cadet[[#This Row],[Final Total]]</f>
        <v>33.1</v>
      </c>
      <c r="AI4" s="26">
        <f>COUNTIFS(Majorette_Duo_AccessoriesDuo_Cadet[Age
Division],Majorette_Duo_AccessoriesDuo_Cadet[[#This Row],[Age
Division]],Majorette_Duo_AccessoriesDuo_Cadet[Category],Majorette_Duo_AccessoriesDuo_Cadet[[#This Row],[Category]],Majorette_Duo_AccessoriesDuo_Cadet[FINAL SCORE],"&gt;"&amp;Majorette_Duo_AccessoriesDuo_Cadet[[#This Row],[FINAL SCORE]])+1</f>
        <v>3</v>
      </c>
      <c r="AJ4" s="16" t="s">
        <v>118</v>
      </c>
    </row>
    <row r="5" spans="1:55" ht="15.6" x14ac:dyDescent="0.3">
      <c r="A5" s="16">
        <v>67</v>
      </c>
      <c r="B5" s="17">
        <v>1</v>
      </c>
      <c r="C5" s="17" t="s">
        <v>94</v>
      </c>
      <c r="D5" s="17" t="s">
        <v>23</v>
      </c>
      <c r="E5" s="18"/>
      <c r="F5" s="17" t="s">
        <v>100</v>
      </c>
      <c r="G5" s="27" t="s">
        <v>83</v>
      </c>
      <c r="H5" s="19" t="s">
        <v>28</v>
      </c>
      <c r="I5" s="20">
        <v>19.100000000000001</v>
      </c>
      <c r="J5" s="21">
        <v>2</v>
      </c>
      <c r="K5" s="22">
        <f>Majorette_Duo_AccessoriesDuo_Cadet[[#This Row],[Judge 1
Tamara Beljak]]-J5</f>
        <v>17.100000000000001</v>
      </c>
      <c r="L5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Row],[Category]],Majorette_Duo_AccessoriesDuo_Cadet[J1 TOTAL],"&gt;"&amp;Majorette_Duo_AccessoriesDuo_Cadet[[#This Row],[J1 TOTAL]])+1</f>
        <v>4</v>
      </c>
      <c r="M5" s="20">
        <v>15.5</v>
      </c>
      <c r="N5" s="21">
        <v>2</v>
      </c>
      <c r="O5" s="22">
        <f>Majorette_Duo_AccessoriesDuo_Cadet[[#This Row],[Judge 2
Tihomir Bendelja]]-Majorette_Duo_AccessoriesDuo_Cadet[[#This Row],[J2 (-)]]</f>
        <v>13.5</v>
      </c>
      <c r="P5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Row],[Category]],Majorette_Duo_AccessoriesDuo_Cadet[J2 TOTAL],"&gt;"&amp;Majorette_Duo_AccessoriesDuo_Cadet[[#This Row],[J2 TOTAL]])+1</f>
        <v>4</v>
      </c>
      <c r="Q5" s="20"/>
      <c r="R5" s="21"/>
      <c r="S5" s="22">
        <f>Majorette_Duo_AccessoriesDuo_Cadet[[#This Row],[Judge 3
Tea Softić]]-R5</f>
        <v>0</v>
      </c>
      <c r="T5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Row],[Category]],Majorette_Duo_AccessoriesDuo_Cadet[J3 TOTAL],"&gt;"&amp;Majorette_Duo_AccessoriesDuo_Cadet[[#This Row],[J3 TOTAL]])+1</f>
        <v>1</v>
      </c>
      <c r="U5" s="20"/>
      <c r="V5" s="21"/>
      <c r="W5" s="22">
        <f>Majorette_Duo_AccessoriesDuo_Cadet[[#This Row],[Judge 4
Bernard Barač]]-V5</f>
        <v>0</v>
      </c>
      <c r="X5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Row],[Category]],Majorette_Duo_AccessoriesDuo_Cadet[J4 TOTAL],"&gt;"&amp;Majorette_Duo_AccessoriesDuo_Cadet[[#This Row],[J4 TOTAL]])+1</f>
        <v>1</v>
      </c>
      <c r="Y5" s="20"/>
      <c r="Z5" s="21"/>
      <c r="AA5" s="22">
        <f>Majorette_Duo_AccessoriesDuo_Cadet[[#This Row],[Judge 5
Barbara Novina]]-Z5</f>
        <v>0</v>
      </c>
      <c r="AB5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Row],[Category]],Majorette_Duo_AccessoriesDuo_Cadet[J5 TOTAL],"&gt;"&amp;Majorette_Duo_AccessoriesDuo_Cadet[[#This Row],[J5 TOTAL]])+1</f>
        <v>1</v>
      </c>
      <c r="AC5" s="24">
        <f>SUM(Majorette_Duo_AccessoriesDuo_Cadet[[#This Row],[J1 TOTAL]]+Majorette_Duo_AccessoriesDuo_Cadet[[#This Row],[J2 TOTAL]]+Majorette_Duo_AccessoriesDuo_Cadet[[#This Row],[J3 TOTAL]]+Majorette_Duo_AccessoriesDuo_Cadet[[#This Row],[J4 TOTAL]])+Majorette_Duo_AccessoriesDuo_Cadet[[#This Row],[J5 TOTAL]]</f>
        <v>30.6</v>
      </c>
      <c r="AD5" s="24"/>
      <c r="AE5" s="24"/>
      <c r="AF5" s="24">
        <f>SUM(Majorette_Duo_AccessoriesDuo_Cadet[[#This Row],[Total]]-Majorette_Duo_AccessoriesDuo_Cadet[[#This Row],[Low]]-Majorette_Duo_AccessoriesDuo_Cadet[[#This Row],[High]])</f>
        <v>30.6</v>
      </c>
      <c r="AG5" s="24">
        <f t="shared" si="0"/>
        <v>17.3</v>
      </c>
      <c r="AH5" s="25">
        <f>Majorette_Duo_AccessoriesDuo_Cadet[[#This Row],[Final Total]]</f>
        <v>30.6</v>
      </c>
      <c r="AI5" s="26">
        <f>COUNTIFS(Majorette_Duo_AccessoriesDuo_Cadet[Age
Division],Majorette_Duo_AccessoriesDuo_Cadet[[#This Row],[Age
Division]],Majorette_Duo_AccessoriesDuo_Cadet[Category],Majorette_Duo_AccessoriesDuo_Cadet[[#This Row],[Category]],Majorette_Duo_AccessoriesDuo_Cadet[FINAL SCORE],"&gt;"&amp;Majorette_Duo_AccessoriesDuo_Cadet[[#This Row],[FINAL SCORE]])+1</f>
        <v>4</v>
      </c>
      <c r="AJ5" s="16" t="s">
        <v>118</v>
      </c>
    </row>
    <row r="6" spans="1:55" ht="15.6" x14ac:dyDescent="0.3">
      <c r="A6" s="16">
        <v>69</v>
      </c>
      <c r="B6" s="17">
        <v>1</v>
      </c>
      <c r="C6" s="17" t="s">
        <v>94</v>
      </c>
      <c r="D6" s="17" t="s">
        <v>23</v>
      </c>
      <c r="E6" s="18"/>
      <c r="F6" s="17" t="s">
        <v>101</v>
      </c>
      <c r="G6" s="27" t="s">
        <v>24</v>
      </c>
      <c r="H6" s="19" t="s">
        <v>25</v>
      </c>
      <c r="I6" s="20">
        <v>18.8</v>
      </c>
      <c r="J6" s="21">
        <v>3.5</v>
      </c>
      <c r="K6" s="22">
        <f>Majorette_Duo_AccessoriesDuo_Cadet[[#This Row],[Judge 1
Tamara Beljak]]-J6</f>
        <v>15.3</v>
      </c>
      <c r="L6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Row],[Category]],Majorette_Duo_AccessoriesDuo_Cadet[J1 TOTAL],"&gt;"&amp;Majorette_Duo_AccessoriesDuo_Cadet[[#This Row],[J1 TOTAL]])+1</f>
        <v>5</v>
      </c>
      <c r="M6" s="20">
        <v>16.5</v>
      </c>
      <c r="N6" s="21">
        <v>3.5</v>
      </c>
      <c r="O6" s="22">
        <f>Majorette_Duo_AccessoriesDuo_Cadet[[#This Row],[Judge 2
Tihomir Bendelja]]-Majorette_Duo_AccessoriesDuo_Cadet[[#This Row],[J2 (-)]]</f>
        <v>13</v>
      </c>
      <c r="P6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Row],[Category]],Majorette_Duo_AccessoriesDuo_Cadet[J2 TOTAL],"&gt;"&amp;Majorette_Duo_AccessoriesDuo_Cadet[[#This Row],[J2 TOTAL]])+1</f>
        <v>5</v>
      </c>
      <c r="Q6" s="20"/>
      <c r="R6" s="21"/>
      <c r="S6" s="22">
        <f>Majorette_Duo_AccessoriesDuo_Cadet[[#This Row],[Judge 3
Tea Softić]]-R6</f>
        <v>0</v>
      </c>
      <c r="T6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Row],[Category]],Majorette_Duo_AccessoriesDuo_Cadet[J3 TOTAL],"&gt;"&amp;Majorette_Duo_AccessoriesDuo_Cadet[[#This Row],[J3 TOTAL]])+1</f>
        <v>1</v>
      </c>
      <c r="U6" s="20"/>
      <c r="V6" s="21"/>
      <c r="W6" s="22">
        <f>Majorette_Duo_AccessoriesDuo_Cadet[[#This Row],[Judge 4
Bernard Barač]]-V6</f>
        <v>0</v>
      </c>
      <c r="X6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Row],[Category]],Majorette_Duo_AccessoriesDuo_Cadet[J4 TOTAL],"&gt;"&amp;Majorette_Duo_AccessoriesDuo_Cadet[[#This Row],[J4 TOTAL]])+1</f>
        <v>1</v>
      </c>
      <c r="Y6" s="20"/>
      <c r="Z6" s="21"/>
      <c r="AA6" s="22">
        <f>Majorette_Duo_AccessoriesDuo_Cadet[[#This Row],[Judge 5
Barbara Novina]]-Z6</f>
        <v>0</v>
      </c>
      <c r="AB6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Row],[Category]],Majorette_Duo_AccessoriesDuo_Cadet[J5 TOTAL],"&gt;"&amp;Majorette_Duo_AccessoriesDuo_Cadet[[#This Row],[J5 TOTAL]])+1</f>
        <v>1</v>
      </c>
      <c r="AC6" s="24">
        <f>SUM(Majorette_Duo_AccessoriesDuo_Cadet[[#This Row],[J1 TOTAL]]+Majorette_Duo_AccessoriesDuo_Cadet[[#This Row],[J2 TOTAL]]+Majorette_Duo_AccessoriesDuo_Cadet[[#This Row],[J3 TOTAL]]+Majorette_Duo_AccessoriesDuo_Cadet[[#This Row],[J4 TOTAL]])+Majorette_Duo_AccessoriesDuo_Cadet[[#This Row],[J5 TOTAL]]</f>
        <v>28.3</v>
      </c>
      <c r="AD6" s="24"/>
      <c r="AE6" s="24"/>
      <c r="AF6" s="24">
        <f>SUM(Majorette_Duo_AccessoriesDuo_Cadet[[#This Row],[Total]]-Majorette_Duo_AccessoriesDuo_Cadet[[#This Row],[Low]]-Majorette_Duo_AccessoriesDuo_Cadet[[#This Row],[High]])</f>
        <v>28.3</v>
      </c>
      <c r="AG6" s="24">
        <f t="shared" si="0"/>
        <v>17.649999999999999</v>
      </c>
      <c r="AH6" s="25">
        <f>Majorette_Duo_AccessoriesDuo_Cadet[[#This Row],[Final Total]]</f>
        <v>28.3</v>
      </c>
      <c r="AI6" s="26">
        <f>COUNTIFS(Majorette_Duo_AccessoriesDuo_Cadet[Age
Division],Majorette_Duo_AccessoriesDuo_Cadet[[#This Row],[Age
Division]],Majorette_Duo_AccessoriesDuo_Cadet[Category],Majorette_Duo_AccessoriesDuo_Cadet[[#This Row],[Category]],Majorette_Duo_AccessoriesDuo_Cadet[FINAL SCORE],"&gt;"&amp;Majorette_Duo_AccessoriesDuo_Cadet[[#This Row],[FINAL SCORE]])+1</f>
        <v>5</v>
      </c>
      <c r="AJ6" s="16" t="s">
        <v>118</v>
      </c>
    </row>
    <row r="7" spans="1:55" ht="15.6" x14ac:dyDescent="0.3">
      <c r="A7" s="16">
        <v>75</v>
      </c>
      <c r="B7" s="17">
        <v>1</v>
      </c>
      <c r="C7" s="17" t="s">
        <v>94</v>
      </c>
      <c r="D7" s="17" t="s">
        <v>23</v>
      </c>
      <c r="E7" s="18"/>
      <c r="F7" s="17" t="s">
        <v>104</v>
      </c>
      <c r="G7" s="27" t="s">
        <v>83</v>
      </c>
      <c r="H7" s="19" t="s">
        <v>28</v>
      </c>
      <c r="I7" s="20">
        <v>16</v>
      </c>
      <c r="J7" s="21">
        <v>2</v>
      </c>
      <c r="K7" s="22">
        <f>Majorette_Duo_AccessoriesDuo_Cadet[[#This Row],[Judge 1
Tamara Beljak]]-J7</f>
        <v>14</v>
      </c>
      <c r="L7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Row],[Category]],Majorette_Duo_AccessoriesDuo_Cadet[J1 TOTAL],"&gt;"&amp;Majorette_Duo_AccessoriesDuo_Cadet[[#This Row],[J1 TOTAL]])+1</f>
        <v>6</v>
      </c>
      <c r="M7" s="20">
        <v>12.5</v>
      </c>
      <c r="N7" s="21">
        <v>2</v>
      </c>
      <c r="O7" s="22">
        <f>Majorette_Duo_AccessoriesDuo_Cadet[[#This Row],[Judge 2
Tihomir Bendelja]]-Majorette_Duo_AccessoriesDuo_Cadet[[#This Row],[J2 (-)]]</f>
        <v>10.5</v>
      </c>
      <c r="P7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Row],[Category]],Majorette_Duo_AccessoriesDuo_Cadet[J2 TOTAL],"&gt;"&amp;Majorette_Duo_AccessoriesDuo_Cadet[[#This Row],[J2 TOTAL]])+1</f>
        <v>6</v>
      </c>
      <c r="Q7" s="20"/>
      <c r="R7" s="21"/>
      <c r="S7" s="22">
        <f>Majorette_Duo_AccessoriesDuo_Cadet[[#This Row],[Judge 3
Tea Softić]]-R7</f>
        <v>0</v>
      </c>
      <c r="T7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Row],[Category]],Majorette_Duo_AccessoriesDuo_Cadet[J3 TOTAL],"&gt;"&amp;Majorette_Duo_AccessoriesDuo_Cadet[[#This Row],[J3 TOTAL]])+1</f>
        <v>1</v>
      </c>
      <c r="U7" s="20"/>
      <c r="V7" s="21"/>
      <c r="W7" s="22">
        <f>Majorette_Duo_AccessoriesDuo_Cadet[[#This Row],[Judge 4
Bernard Barač]]-V7</f>
        <v>0</v>
      </c>
      <c r="X7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Row],[Category]],Majorette_Duo_AccessoriesDuo_Cadet[J4 TOTAL],"&gt;"&amp;Majorette_Duo_AccessoriesDuo_Cadet[[#This Row],[J4 TOTAL]])+1</f>
        <v>1</v>
      </c>
      <c r="Y7" s="20"/>
      <c r="Z7" s="21"/>
      <c r="AA7" s="22">
        <f>Majorette_Duo_AccessoriesDuo_Cadet[[#This Row],[Judge 5
Barbara Novina]]-Z7</f>
        <v>0</v>
      </c>
      <c r="AB7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Row],[Category]],Majorette_Duo_AccessoriesDuo_Cadet[J5 TOTAL],"&gt;"&amp;Majorette_Duo_AccessoriesDuo_Cadet[[#This Row],[J5 TOTAL]])+1</f>
        <v>1</v>
      </c>
      <c r="AC7" s="24">
        <f>SUM(Majorette_Duo_AccessoriesDuo_Cadet[[#This Row],[J1 TOTAL]]+Majorette_Duo_AccessoriesDuo_Cadet[[#This Row],[J2 TOTAL]]+Majorette_Duo_AccessoriesDuo_Cadet[[#This Row],[J3 TOTAL]]+Majorette_Duo_AccessoriesDuo_Cadet[[#This Row],[J4 TOTAL]])+Majorette_Duo_AccessoriesDuo_Cadet[[#This Row],[J5 TOTAL]]</f>
        <v>24.5</v>
      </c>
      <c r="AD7" s="24"/>
      <c r="AE7" s="24"/>
      <c r="AF7" s="24">
        <f>SUM(Majorette_Duo_AccessoriesDuo_Cadet[[#This Row],[Total]]-Majorette_Duo_AccessoriesDuo_Cadet[[#This Row],[Low]]-Majorette_Duo_AccessoriesDuo_Cadet[[#This Row],[High]])</f>
        <v>24.5</v>
      </c>
      <c r="AG7" s="24">
        <f t="shared" si="0"/>
        <v>14.25</v>
      </c>
      <c r="AH7" s="25">
        <f>Majorette_Duo_AccessoriesDuo_Cadet[[#This Row],[Final Total]]</f>
        <v>24.5</v>
      </c>
      <c r="AI7" s="26">
        <f>COUNTIFS(Majorette_Duo_AccessoriesDuo_Cadet[Age
Division],Majorette_Duo_AccessoriesDuo_Cadet[[#This Row],[Age
Division]],Majorette_Duo_AccessoriesDuo_Cadet[Category],Majorette_Duo_AccessoriesDuo_Cadet[[#This Row],[Category]],Majorette_Duo_AccessoriesDuo_Cadet[FINAL SCORE],"&gt;"&amp;Majorette_Duo_AccessoriesDuo_Cadet[[#This Row],[FINAL SCORE]])+1</f>
        <v>6</v>
      </c>
      <c r="AJ7" s="16" t="s">
        <v>118</v>
      </c>
    </row>
    <row r="8" spans="1:55" ht="15.6" x14ac:dyDescent="0.3">
      <c r="A8" s="16">
        <v>63</v>
      </c>
      <c r="B8" s="17">
        <v>1</v>
      </c>
      <c r="C8" s="17" t="s">
        <v>94</v>
      </c>
      <c r="D8" s="17" t="s">
        <v>23</v>
      </c>
      <c r="E8" s="17"/>
      <c r="F8" s="17" t="s">
        <v>97</v>
      </c>
      <c r="G8" s="27" t="s">
        <v>98</v>
      </c>
      <c r="H8" s="19" t="s">
        <v>28</v>
      </c>
      <c r="I8" s="20">
        <v>10</v>
      </c>
      <c r="J8" s="21">
        <v>4</v>
      </c>
      <c r="K8" s="22">
        <f>Majorette_Duo_AccessoriesDuo_Cadet[[#This Row],[Judge 1
Tamara Beljak]]-J8</f>
        <v>6</v>
      </c>
      <c r="L8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Row],[Category]],Majorette_Duo_AccessoriesDuo_Cadet[J1 TOTAL],"&gt;"&amp;Majorette_Duo_AccessoriesDuo_Cadet[[#This Row],[J1 TOTAL]])+1</f>
        <v>7</v>
      </c>
      <c r="M8" s="20">
        <v>10</v>
      </c>
      <c r="N8" s="21">
        <v>4</v>
      </c>
      <c r="O8" s="22">
        <f>Majorette_Duo_AccessoriesDuo_Cadet[[#This Row],[Judge 2
Tihomir Bendelja]]-Majorette_Duo_AccessoriesDuo_Cadet[[#This Row],[J2 (-)]]</f>
        <v>6</v>
      </c>
      <c r="P8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Row],[Category]],Majorette_Duo_AccessoriesDuo_Cadet[J2 TOTAL],"&gt;"&amp;Majorette_Duo_AccessoriesDuo_Cadet[[#This Row],[J2 TOTAL]])+1</f>
        <v>7</v>
      </c>
      <c r="Q8" s="20"/>
      <c r="R8" s="21"/>
      <c r="S8" s="22">
        <f>Majorette_Duo_AccessoriesDuo_Cadet[[#This Row],[Judge 3
Tea Softić]]-R8</f>
        <v>0</v>
      </c>
      <c r="T8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Row],[Category]],Majorette_Duo_AccessoriesDuo_Cadet[J3 TOTAL],"&gt;"&amp;Majorette_Duo_AccessoriesDuo_Cadet[[#This Row],[J3 TOTAL]])+1</f>
        <v>1</v>
      </c>
      <c r="U8" s="20"/>
      <c r="V8" s="21"/>
      <c r="W8" s="22">
        <f>Majorette_Duo_AccessoriesDuo_Cadet[[#This Row],[Judge 4
Bernard Barač]]-V8</f>
        <v>0</v>
      </c>
      <c r="X8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Row],[Category]],Majorette_Duo_AccessoriesDuo_Cadet[J4 TOTAL],"&gt;"&amp;Majorette_Duo_AccessoriesDuo_Cadet[[#This Row],[J4 TOTAL]])+1</f>
        <v>1</v>
      </c>
      <c r="Y8" s="20"/>
      <c r="Z8" s="21"/>
      <c r="AA8" s="22">
        <f>Majorette_Duo_AccessoriesDuo_Cadet[[#This Row],[Judge 5
Barbara Novina]]-Z8</f>
        <v>0</v>
      </c>
      <c r="AB8" s="23">
        <f>COUNTIFS(Majorette_Duo_AccessoriesDuo_Cadet[Age
Division],Majorette_Duo_AccessoriesDuo_Cadet[[#This Row],[Age
Division]],Majorette_Duo_AccessoriesDuo_Cadet[Category],Majorette_Duo_AccessoriesDuo_Cadet[[#This Row],[Category]],Majorette_Duo_AccessoriesDuo_Cadet[J5 TOTAL],"&gt;"&amp;Majorette_Duo_AccessoriesDuo_Cadet[[#This Row],[J5 TOTAL]])+1</f>
        <v>1</v>
      </c>
      <c r="AC8" s="24">
        <f>SUM(Majorette_Duo_AccessoriesDuo_Cadet[[#This Row],[J1 TOTAL]]+Majorette_Duo_AccessoriesDuo_Cadet[[#This Row],[J2 TOTAL]]+Majorette_Duo_AccessoriesDuo_Cadet[[#This Row],[J3 TOTAL]]+Majorette_Duo_AccessoriesDuo_Cadet[[#This Row],[J4 TOTAL]])+Majorette_Duo_AccessoriesDuo_Cadet[[#This Row],[J5 TOTAL]]</f>
        <v>12</v>
      </c>
      <c r="AD8" s="24"/>
      <c r="AE8" s="24"/>
      <c r="AF8" s="24">
        <f>SUM(Majorette_Duo_AccessoriesDuo_Cadet[[#This Row],[Total]]-Majorette_Duo_AccessoriesDuo_Cadet[[#This Row],[Low]]-Majorette_Duo_AccessoriesDuo_Cadet[[#This Row],[High]])</f>
        <v>12</v>
      </c>
      <c r="AG8" s="24">
        <f t="shared" si="0"/>
        <v>10</v>
      </c>
      <c r="AH8" s="25">
        <f>Majorette_Duo_AccessoriesDuo_Cadet[[#This Row],[Final Total]]</f>
        <v>12</v>
      </c>
      <c r="AI8" s="28">
        <f>COUNTIFS(Majorette_Duo_AccessoriesDuo_Cadet[Age
Division],Majorette_Duo_AccessoriesDuo_Cadet[[#This Row],[Age
Division]],Majorette_Duo_AccessoriesDuo_Cadet[Category],Majorette_Duo_AccessoriesDuo_Cadet[[#This Row],[Category]],Majorette_Duo_AccessoriesDuo_Cadet[FINAL SCORE],"&gt;"&amp;Majorette_Duo_AccessoriesDuo_Cadet[[#This Row],[FINAL SCORE]])+1</f>
        <v>7</v>
      </c>
      <c r="AJ8" s="16" t="s">
        <v>118</v>
      </c>
    </row>
  </sheetData>
  <sheetProtection algorithmName="SHA-512" hashValue="17b5YeM9bEPxPaNojpKvYpTwzaroGb/FNchK0Sh6ZBrICrE5AUVjaHxTwTWxh26GwbYTOFtFVLZaiYDStY66NQ==" saltValue="D2wTj+4atvbYBUZNrFm/VA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7446-8974-4940-8A16-62E621343EFF}">
  <dimension ref="A1:BC5"/>
  <sheetViews>
    <sheetView zoomScale="80" zoomScaleNormal="80" workbookViewId="0">
      <pane xSplit="8" topLeftCell="I1" activePane="topRight" state="frozen"/>
      <selection activeCell="G18" sqref="G18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4.21875" style="29" customWidth="1"/>
    <col min="4" max="4" width="7.109375" style="30" customWidth="1"/>
    <col min="5" max="5" width="16.33203125" style="30" hidden="1" customWidth="1"/>
    <col min="6" max="6" width="26.21875" style="19" customWidth="1"/>
    <col min="7" max="7" width="40.44140625" style="19" customWidth="1"/>
    <col min="8" max="8" width="7.77734375" style="19" customWidth="1"/>
    <col min="9" max="16" width="9.109375" style="19" customWidth="1"/>
    <col min="17" max="28" width="9.109375" style="19" hidden="1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79</v>
      </c>
      <c r="B2" s="17">
        <v>1</v>
      </c>
      <c r="C2" s="17" t="s">
        <v>94</v>
      </c>
      <c r="D2" s="17" t="s">
        <v>27</v>
      </c>
      <c r="E2" s="18"/>
      <c r="F2" s="17" t="s">
        <v>106</v>
      </c>
      <c r="G2" s="17" t="s">
        <v>93</v>
      </c>
      <c r="H2" s="19" t="s">
        <v>25</v>
      </c>
      <c r="I2" s="20">
        <v>47.1</v>
      </c>
      <c r="J2" s="21">
        <v>0</v>
      </c>
      <c r="K2" s="22">
        <f>Majorette_Duo_AccessoriesDuo_Junior[[#This Row],[Judge 1
Tamara Beljak]]-J2</f>
        <v>47.1</v>
      </c>
      <c r="L2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Row],[Category]],Majorette_Duo_AccessoriesDuo_Junior[J1 TOTAL],"&gt;"&amp;Majorette_Duo_AccessoriesDuo_Junior[[#This Row],[J1 TOTAL]])+1</f>
        <v>1</v>
      </c>
      <c r="M2" s="20">
        <v>47</v>
      </c>
      <c r="N2" s="21">
        <v>0</v>
      </c>
      <c r="O2" s="22">
        <f>Majorette_Duo_AccessoriesDuo_Junior[[#This Row],[Judge 2
Tihomir Bendelja]]-Majorette_Duo_AccessoriesDuo_Junior[[#This Row],[J2 (-)]]</f>
        <v>47</v>
      </c>
      <c r="P2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Row],[Category]],Majorette_Duo_AccessoriesDuo_Junior[J2 TOTAL],"&gt;"&amp;Majorette_Duo_AccessoriesDuo_Junior[[#This Row],[J2 TOTAL]])+1</f>
        <v>1</v>
      </c>
      <c r="Q2" s="20"/>
      <c r="R2" s="21"/>
      <c r="S2" s="22">
        <f>Majorette_Duo_AccessoriesDuo_Junior[[#This Row],[Judge 3
Tea Softić]]-R2</f>
        <v>0</v>
      </c>
      <c r="T2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Row],[Category]],Majorette_Duo_AccessoriesDuo_Junior[J3 TOTAL],"&gt;"&amp;Majorette_Duo_AccessoriesDuo_Junior[[#This Row],[J3 TOTAL]])+1</f>
        <v>1</v>
      </c>
      <c r="U2" s="20"/>
      <c r="V2" s="21"/>
      <c r="W2" s="22">
        <f>Majorette_Duo_AccessoriesDuo_Junior[[#This Row],[Judge 4
Bernard Barač]]-V2</f>
        <v>0</v>
      </c>
      <c r="X2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Row],[Category]],Majorette_Duo_AccessoriesDuo_Junior[J4 TOTAL],"&gt;"&amp;Majorette_Duo_AccessoriesDuo_Junior[[#This Row],[J4 TOTAL]])+1</f>
        <v>1</v>
      </c>
      <c r="Y2" s="20"/>
      <c r="Z2" s="21"/>
      <c r="AA2" s="22">
        <f>Majorette_Duo_AccessoriesDuo_Junior[[#This Row],[Judge 5
Barbara Novina]]-Z2</f>
        <v>0</v>
      </c>
      <c r="AB2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Row],[Category]],Majorette_Duo_AccessoriesDuo_Junior[J5 TOTAL],"&gt;"&amp;Majorette_Duo_AccessoriesDuo_Junior[[#This Row],[J5 TOTAL]])+1</f>
        <v>1</v>
      </c>
      <c r="AC2" s="24">
        <f>SUM(Majorette_Duo_AccessoriesDuo_Junior[[#This Row],[J1 TOTAL]]+Majorette_Duo_AccessoriesDuo_Junior[[#This Row],[J2 TOTAL]]+Majorette_Duo_AccessoriesDuo_Junior[[#This Row],[J3 TOTAL]]+Majorette_Duo_AccessoriesDuo_Junior[[#This Row],[J4 TOTAL]])+Majorette_Duo_AccessoriesDuo_Junior[[#This Row],[J5 TOTAL]]</f>
        <v>94.1</v>
      </c>
      <c r="AD2" s="24"/>
      <c r="AE2" s="24"/>
      <c r="AF2" s="24">
        <f>SUM(Majorette_Duo_AccessoriesDuo_Junior[[#This Row],[Total]]-Majorette_Duo_AccessoriesDuo_Junior[[#This Row],[Low]]-Majorette_Duo_AccessoriesDuo_Junior[[#This Row],[High]])</f>
        <v>94.1</v>
      </c>
      <c r="AG2" s="24">
        <f>AVERAGE(I2,M2,Q2,U2,Y2)</f>
        <v>47.05</v>
      </c>
      <c r="AH2" s="25">
        <f>Majorette_Duo_AccessoriesDuo_Junior[[#This Row],[Final Total]]</f>
        <v>94.1</v>
      </c>
      <c r="AI2" s="26">
        <f>COUNTIFS(Majorette_Duo_AccessoriesDuo_Junior[Age
Division],Majorette_Duo_AccessoriesDuo_Junior[[#This Row],[Age
Division]],Majorette_Duo_AccessoriesDuo_Junior[Category],Majorette_Duo_AccessoriesDuo_Junior[[#This Row],[Category]],Majorette_Duo_AccessoriesDuo_Junior[FINAL SCORE],"&gt;"&amp;Majorette_Duo_AccessoriesDuo_Junior[[#This Row],[FINAL SCORE]])+1</f>
        <v>1</v>
      </c>
      <c r="AJ2" s="16" t="s">
        <v>118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83</v>
      </c>
      <c r="B3" s="17">
        <v>1</v>
      </c>
      <c r="C3" s="17" t="s">
        <v>94</v>
      </c>
      <c r="D3" s="17" t="s">
        <v>27</v>
      </c>
      <c r="E3" s="18"/>
      <c r="F3" s="17" t="s">
        <v>108</v>
      </c>
      <c r="G3" s="17" t="s">
        <v>91</v>
      </c>
      <c r="H3" s="19" t="s">
        <v>28</v>
      </c>
      <c r="I3" s="20">
        <v>43.6</v>
      </c>
      <c r="J3" s="21">
        <v>1.5</v>
      </c>
      <c r="K3" s="22">
        <f>Majorette_Duo_AccessoriesDuo_Junior[[#This Row],[Judge 1
Tamara Beljak]]-J3</f>
        <v>42.1</v>
      </c>
      <c r="L3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Row],[Category]],Majorette_Duo_AccessoriesDuo_Junior[J1 TOTAL],"&gt;"&amp;Majorette_Duo_AccessoriesDuo_Junior[[#This Row],[J1 TOTAL]])+1</f>
        <v>2</v>
      </c>
      <c r="M3" s="20">
        <v>42.4</v>
      </c>
      <c r="N3" s="21">
        <v>1.5</v>
      </c>
      <c r="O3" s="22">
        <f>Majorette_Duo_AccessoriesDuo_Junior[[#This Row],[Judge 2
Tihomir Bendelja]]-Majorette_Duo_AccessoriesDuo_Junior[[#This Row],[J2 (-)]]</f>
        <v>40.9</v>
      </c>
      <c r="P3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Row],[Category]],Majorette_Duo_AccessoriesDuo_Junior[J2 TOTAL],"&gt;"&amp;Majorette_Duo_AccessoriesDuo_Junior[[#This Row],[J2 TOTAL]])+1</f>
        <v>2</v>
      </c>
      <c r="Q3" s="20"/>
      <c r="R3" s="21"/>
      <c r="S3" s="22">
        <f>Majorette_Duo_AccessoriesDuo_Junior[[#This Row],[Judge 3
Tea Softić]]-R3</f>
        <v>0</v>
      </c>
      <c r="T3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Row],[Category]],Majorette_Duo_AccessoriesDuo_Junior[J3 TOTAL],"&gt;"&amp;Majorette_Duo_AccessoriesDuo_Junior[[#This Row],[J3 TOTAL]])+1</f>
        <v>1</v>
      </c>
      <c r="U3" s="20"/>
      <c r="V3" s="21"/>
      <c r="W3" s="22">
        <f>Majorette_Duo_AccessoriesDuo_Junior[[#This Row],[Judge 4
Bernard Barač]]-V3</f>
        <v>0</v>
      </c>
      <c r="X3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Row],[Category]],Majorette_Duo_AccessoriesDuo_Junior[J4 TOTAL],"&gt;"&amp;Majorette_Duo_AccessoriesDuo_Junior[[#This Row],[J4 TOTAL]])+1</f>
        <v>1</v>
      </c>
      <c r="Y3" s="20"/>
      <c r="Z3" s="21"/>
      <c r="AA3" s="22">
        <f>Majorette_Duo_AccessoriesDuo_Junior[[#This Row],[Judge 5
Barbara Novina]]-Z3</f>
        <v>0</v>
      </c>
      <c r="AB3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Row],[Category]],Majorette_Duo_AccessoriesDuo_Junior[J5 TOTAL],"&gt;"&amp;Majorette_Duo_AccessoriesDuo_Junior[[#This Row],[J5 TOTAL]])+1</f>
        <v>1</v>
      </c>
      <c r="AC3" s="24">
        <f>SUM(Majorette_Duo_AccessoriesDuo_Junior[[#This Row],[J1 TOTAL]]+Majorette_Duo_AccessoriesDuo_Junior[[#This Row],[J2 TOTAL]]+Majorette_Duo_AccessoriesDuo_Junior[[#This Row],[J3 TOTAL]]+Majorette_Duo_AccessoriesDuo_Junior[[#This Row],[J4 TOTAL]])+Majorette_Duo_AccessoriesDuo_Junior[[#This Row],[J5 TOTAL]]</f>
        <v>83</v>
      </c>
      <c r="AD3" s="24"/>
      <c r="AE3" s="24"/>
      <c r="AF3" s="24">
        <f>SUM(Majorette_Duo_AccessoriesDuo_Junior[[#This Row],[Total]]-Majorette_Duo_AccessoriesDuo_Junior[[#This Row],[Low]]-Majorette_Duo_AccessoriesDuo_Junior[[#This Row],[High]])</f>
        <v>83</v>
      </c>
      <c r="AG3" s="24">
        <f>AVERAGE(I3,M3,Q3,U3,Y3)</f>
        <v>43</v>
      </c>
      <c r="AH3" s="25">
        <f>Majorette_Duo_AccessoriesDuo_Junior[[#This Row],[Final Total]]</f>
        <v>83</v>
      </c>
      <c r="AI3" s="26">
        <f>COUNTIFS(Majorette_Duo_AccessoriesDuo_Junior[Age
Division],Majorette_Duo_AccessoriesDuo_Junior[[#This Row],[Age
Division]],Majorette_Duo_AccessoriesDuo_Junior[Category],Majorette_Duo_AccessoriesDuo_Junior[[#This Row],[Category]],Majorette_Duo_AccessoriesDuo_Junior[FINAL SCORE],"&gt;"&amp;Majorette_Duo_AccessoriesDuo_Junior[[#This Row],[FINAL SCORE]])+1</f>
        <v>2</v>
      </c>
      <c r="AJ3" s="16" t="s">
        <v>118</v>
      </c>
    </row>
    <row r="4" spans="1:55" ht="15.6" x14ac:dyDescent="0.3">
      <c r="A4" s="16">
        <v>77</v>
      </c>
      <c r="B4" s="17">
        <v>1</v>
      </c>
      <c r="C4" s="17" t="s">
        <v>94</v>
      </c>
      <c r="D4" s="17" t="s">
        <v>27</v>
      </c>
      <c r="E4" s="17"/>
      <c r="F4" s="17" t="s">
        <v>105</v>
      </c>
      <c r="G4" s="27" t="s">
        <v>93</v>
      </c>
      <c r="H4" s="19" t="s">
        <v>25</v>
      </c>
      <c r="I4" s="20">
        <v>26</v>
      </c>
      <c r="J4" s="21">
        <v>0</v>
      </c>
      <c r="K4" s="22">
        <f>Majorette_Duo_AccessoriesDuo_Junior[[#This Row],[Judge 1
Tamara Beljak]]-J4</f>
        <v>26</v>
      </c>
      <c r="L4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Row],[Category]],Majorette_Duo_AccessoriesDuo_Junior[J1 TOTAL],"&gt;"&amp;Majorette_Duo_AccessoriesDuo_Junior[[#This Row],[J1 TOTAL]])+1</f>
        <v>3</v>
      </c>
      <c r="M4" s="20">
        <v>26</v>
      </c>
      <c r="N4" s="21">
        <v>0</v>
      </c>
      <c r="O4" s="22">
        <f>Majorette_Duo_AccessoriesDuo_Junior[[#This Row],[Judge 2
Tihomir Bendelja]]-Majorette_Duo_AccessoriesDuo_Junior[[#This Row],[J2 (-)]]</f>
        <v>26</v>
      </c>
      <c r="P4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Row],[Category]],Majorette_Duo_AccessoriesDuo_Junior[J2 TOTAL],"&gt;"&amp;Majorette_Duo_AccessoriesDuo_Junior[[#This Row],[J2 TOTAL]])+1</f>
        <v>3</v>
      </c>
      <c r="Q4" s="20"/>
      <c r="R4" s="21"/>
      <c r="S4" s="22">
        <f>Majorette_Duo_AccessoriesDuo_Junior[[#This Row],[Judge 3
Tea Softić]]-R4</f>
        <v>0</v>
      </c>
      <c r="T4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Row],[Category]],Majorette_Duo_AccessoriesDuo_Junior[J3 TOTAL],"&gt;"&amp;Majorette_Duo_AccessoriesDuo_Junior[[#This Row],[J3 TOTAL]])+1</f>
        <v>1</v>
      </c>
      <c r="U4" s="20"/>
      <c r="V4" s="21"/>
      <c r="W4" s="22">
        <f>Majorette_Duo_AccessoriesDuo_Junior[[#This Row],[Judge 4
Bernard Barač]]-V4</f>
        <v>0</v>
      </c>
      <c r="X4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Row],[Category]],Majorette_Duo_AccessoriesDuo_Junior[J4 TOTAL],"&gt;"&amp;Majorette_Duo_AccessoriesDuo_Junior[[#This Row],[J4 TOTAL]])+1</f>
        <v>1</v>
      </c>
      <c r="Y4" s="20"/>
      <c r="Z4" s="21"/>
      <c r="AA4" s="22">
        <f>Majorette_Duo_AccessoriesDuo_Junior[[#This Row],[Judge 5
Barbara Novina]]-Z4</f>
        <v>0</v>
      </c>
      <c r="AB4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Row],[Category]],Majorette_Duo_AccessoriesDuo_Junior[J5 TOTAL],"&gt;"&amp;Majorette_Duo_AccessoriesDuo_Junior[[#This Row],[J5 TOTAL]])+1</f>
        <v>1</v>
      </c>
      <c r="AC4" s="24">
        <f>SUM(Majorette_Duo_AccessoriesDuo_Junior[[#This Row],[J1 TOTAL]]+Majorette_Duo_AccessoriesDuo_Junior[[#This Row],[J2 TOTAL]]+Majorette_Duo_AccessoriesDuo_Junior[[#This Row],[J3 TOTAL]]+Majorette_Duo_AccessoriesDuo_Junior[[#This Row],[J4 TOTAL]])+Majorette_Duo_AccessoriesDuo_Junior[[#This Row],[J5 TOTAL]]</f>
        <v>52</v>
      </c>
      <c r="AD4" s="24"/>
      <c r="AE4" s="24"/>
      <c r="AF4" s="24">
        <f>SUM(Majorette_Duo_AccessoriesDuo_Junior[[#This Row],[Total]]-Majorette_Duo_AccessoriesDuo_Junior[[#This Row],[Low]]-Majorette_Duo_AccessoriesDuo_Junior[[#This Row],[High]])</f>
        <v>52</v>
      </c>
      <c r="AG4" s="24">
        <f>AVERAGE(I4,M4,Q4,U4,Y4)</f>
        <v>26</v>
      </c>
      <c r="AH4" s="25">
        <f>Majorette_Duo_AccessoriesDuo_Junior[[#This Row],[Final Total]]</f>
        <v>52</v>
      </c>
      <c r="AI4" s="28">
        <f>COUNTIFS(Majorette_Duo_AccessoriesDuo_Junior[Age
Division],Majorette_Duo_AccessoriesDuo_Junior[[#This Row],[Age
Division]],Majorette_Duo_AccessoriesDuo_Junior[Category],Majorette_Duo_AccessoriesDuo_Junior[[#This Row],[Category]],Majorette_Duo_AccessoriesDuo_Junior[FINAL SCORE],"&gt;"&amp;Majorette_Duo_AccessoriesDuo_Junior[[#This Row],[FINAL SCORE]])+1</f>
        <v>3</v>
      </c>
      <c r="AJ4" s="16" t="s">
        <v>118</v>
      </c>
    </row>
    <row r="5" spans="1:55" ht="15.6" x14ac:dyDescent="0.3">
      <c r="A5" s="16">
        <v>81</v>
      </c>
      <c r="B5" s="17">
        <v>1</v>
      </c>
      <c r="C5" s="17" t="s">
        <v>94</v>
      </c>
      <c r="D5" s="17" t="s">
        <v>27</v>
      </c>
      <c r="E5" s="18"/>
      <c r="F5" s="17" t="s">
        <v>107</v>
      </c>
      <c r="G5" s="17" t="s">
        <v>83</v>
      </c>
      <c r="H5" s="19" t="s">
        <v>28</v>
      </c>
      <c r="I5" s="20">
        <v>21.9</v>
      </c>
      <c r="J5" s="21">
        <v>3</v>
      </c>
      <c r="K5" s="22">
        <f>Majorette_Duo_AccessoriesDuo_Junior[[#This Row],[Judge 1
Tamara Beljak]]-J5</f>
        <v>18.899999999999999</v>
      </c>
      <c r="L5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Row],[Category]],Majorette_Duo_AccessoriesDuo_Junior[J1 TOTAL],"&gt;"&amp;Majorette_Duo_AccessoriesDuo_Junior[[#This Row],[J1 TOTAL]])+1</f>
        <v>4</v>
      </c>
      <c r="M5" s="20">
        <v>21.5</v>
      </c>
      <c r="N5" s="21">
        <v>3</v>
      </c>
      <c r="O5" s="22">
        <f>Majorette_Duo_AccessoriesDuo_Junior[[#This Row],[Judge 2
Tihomir Bendelja]]-Majorette_Duo_AccessoriesDuo_Junior[[#This Row],[J2 (-)]]</f>
        <v>18.5</v>
      </c>
      <c r="P5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Row],[Category]],Majorette_Duo_AccessoriesDuo_Junior[J2 TOTAL],"&gt;"&amp;Majorette_Duo_AccessoriesDuo_Junior[[#This Row],[J2 TOTAL]])+1</f>
        <v>4</v>
      </c>
      <c r="Q5" s="20"/>
      <c r="R5" s="21"/>
      <c r="S5" s="22">
        <f>Majorette_Duo_AccessoriesDuo_Junior[[#This Row],[Judge 3
Tea Softić]]-R5</f>
        <v>0</v>
      </c>
      <c r="T5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Row],[Category]],Majorette_Duo_AccessoriesDuo_Junior[J3 TOTAL],"&gt;"&amp;Majorette_Duo_AccessoriesDuo_Junior[[#This Row],[J3 TOTAL]])+1</f>
        <v>1</v>
      </c>
      <c r="U5" s="20"/>
      <c r="V5" s="21"/>
      <c r="W5" s="22">
        <f>Majorette_Duo_AccessoriesDuo_Junior[[#This Row],[Judge 4
Bernard Barač]]-V5</f>
        <v>0</v>
      </c>
      <c r="X5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Row],[Category]],Majorette_Duo_AccessoriesDuo_Junior[J4 TOTAL],"&gt;"&amp;Majorette_Duo_AccessoriesDuo_Junior[[#This Row],[J4 TOTAL]])+1</f>
        <v>1</v>
      </c>
      <c r="Y5" s="20"/>
      <c r="Z5" s="21"/>
      <c r="AA5" s="22">
        <f>Majorette_Duo_AccessoriesDuo_Junior[[#This Row],[Judge 5
Barbara Novina]]-Z5</f>
        <v>0</v>
      </c>
      <c r="AB5" s="23">
        <f>COUNTIFS(Majorette_Duo_AccessoriesDuo_Junior[Age
Division],Majorette_Duo_AccessoriesDuo_Junior[[#This Row],[Age
Division]],Majorette_Duo_AccessoriesDuo_Junior[Category],Majorette_Duo_AccessoriesDuo_Junior[[#This Row],[Category]],Majorette_Duo_AccessoriesDuo_Junior[J5 TOTAL],"&gt;"&amp;Majorette_Duo_AccessoriesDuo_Junior[[#This Row],[J5 TOTAL]])+1</f>
        <v>1</v>
      </c>
      <c r="AC5" s="24">
        <f>SUM(Majorette_Duo_AccessoriesDuo_Junior[[#This Row],[J1 TOTAL]]+Majorette_Duo_AccessoriesDuo_Junior[[#This Row],[J2 TOTAL]]+Majorette_Duo_AccessoriesDuo_Junior[[#This Row],[J3 TOTAL]]+Majorette_Duo_AccessoriesDuo_Junior[[#This Row],[J4 TOTAL]])+Majorette_Duo_AccessoriesDuo_Junior[[#This Row],[J5 TOTAL]]</f>
        <v>37.4</v>
      </c>
      <c r="AD5" s="24"/>
      <c r="AE5" s="24"/>
      <c r="AF5" s="24">
        <f>SUM(Majorette_Duo_AccessoriesDuo_Junior[[#This Row],[Total]]-Majorette_Duo_AccessoriesDuo_Junior[[#This Row],[Low]]-Majorette_Duo_AccessoriesDuo_Junior[[#This Row],[High]])</f>
        <v>37.4</v>
      </c>
      <c r="AG5" s="24">
        <f>AVERAGE(I5,M5,Q5,U5,Y5)</f>
        <v>21.7</v>
      </c>
      <c r="AH5" s="25">
        <f>Majorette_Duo_AccessoriesDuo_Junior[[#This Row],[Final Total]]</f>
        <v>37.4</v>
      </c>
      <c r="AI5" s="26">
        <f>COUNTIFS(Majorette_Duo_AccessoriesDuo_Junior[Age
Division],Majorette_Duo_AccessoriesDuo_Junior[[#This Row],[Age
Division]],Majorette_Duo_AccessoriesDuo_Junior[Category],Majorette_Duo_AccessoriesDuo_Junior[[#This Row],[Category]],Majorette_Duo_AccessoriesDuo_Junior[FINAL SCORE],"&gt;"&amp;Majorette_Duo_AccessoriesDuo_Junior[[#This Row],[FINAL SCORE]])+1</f>
        <v>4</v>
      </c>
      <c r="AJ5" s="16" t="s">
        <v>118</v>
      </c>
    </row>
  </sheetData>
  <sheetProtection algorithmName="SHA-512" hashValue="OFbTZl2+4N7YUz97lhkqxG2Kw8lVnOWc1ra0JY2e85SKOjnqJhykHJ1QhxyfITRIecXWYR2tGD4BbxinENCKCg==" saltValue="1NJ3jR92k8SdnxLVnySkPg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6186B-D719-4C14-8FF0-7F7CCEDC4029}">
  <dimension ref="A1:BC2"/>
  <sheetViews>
    <sheetView zoomScale="80" zoomScaleNormal="80" workbookViewId="0">
      <pane xSplit="8" topLeftCell="I1" activePane="topRight" state="frozen"/>
      <selection activeCell="G18" sqref="G18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4.109375" style="29" customWidth="1"/>
    <col min="4" max="4" width="8" style="30" customWidth="1"/>
    <col min="5" max="5" width="16.33203125" style="30" hidden="1" customWidth="1"/>
    <col min="6" max="6" width="21.5546875" style="19" customWidth="1"/>
    <col min="7" max="7" width="24.6640625" style="19" customWidth="1"/>
    <col min="8" max="8" width="8.5546875" style="19" customWidth="1"/>
    <col min="9" max="16" width="9.109375" style="19" hidden="1" customWidth="1"/>
    <col min="17" max="28" width="9.109375" style="19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68</v>
      </c>
      <c r="B2" s="17">
        <v>2</v>
      </c>
      <c r="C2" s="17" t="s">
        <v>94</v>
      </c>
      <c r="D2" s="17" t="s">
        <v>29</v>
      </c>
      <c r="E2" s="17"/>
      <c r="F2" s="17" t="s">
        <v>109</v>
      </c>
      <c r="G2" s="17" t="s">
        <v>110</v>
      </c>
      <c r="H2" s="19" t="s">
        <v>28</v>
      </c>
      <c r="I2" s="20"/>
      <c r="J2" s="21"/>
      <c r="K2" s="22">
        <f>Majorette_Duo_AccessoriesDuo_Senior[[#This Row],[Judge 1
Tamara Beljak]]-J2</f>
        <v>0</v>
      </c>
      <c r="L2" s="23">
        <f>COUNTIFS(Majorette_Duo_AccessoriesDuo_Senior[Age
Division],Majorette_Duo_AccessoriesDuo_Senior[[#This Row],[Age
Division]],Majorette_Duo_AccessoriesDuo_Senior[Category],Majorette_Duo_AccessoriesDuo_Senior[[#This Row],[Category]],Majorette_Duo_AccessoriesDuo_Senior[J1 TOTAL],"&gt;"&amp;Majorette_Duo_AccessoriesDuo_Senior[[#This Row],[J1 TOTAL]])+1</f>
        <v>1</v>
      </c>
      <c r="M2" s="20"/>
      <c r="N2" s="21"/>
      <c r="O2" s="22">
        <f>Majorette_Duo_AccessoriesDuo_Senior[[#This Row],[Judge 2
Tihomir Bendelja]]-Majorette_Duo_AccessoriesDuo_Senior[[#This Row],[J2 (-)]]</f>
        <v>0</v>
      </c>
      <c r="P2" s="23">
        <f>COUNTIFS(Majorette_Duo_AccessoriesDuo_Senior[Age
Division],Majorette_Duo_AccessoriesDuo_Senior[[#This Row],[Age
Division]],Majorette_Duo_AccessoriesDuo_Senior[Category],Majorette_Duo_AccessoriesDuo_Senior[[#This Row],[Category]],Majorette_Duo_AccessoriesDuo_Senior[J2 TOTAL],"&gt;"&amp;Majorette_Duo_AccessoriesDuo_Senior[[#This Row],[J2 TOTAL]])+1</f>
        <v>1</v>
      </c>
      <c r="Q2" s="20">
        <v>19.600000000000001</v>
      </c>
      <c r="R2" s="21">
        <v>2</v>
      </c>
      <c r="S2" s="22">
        <f>Majorette_Duo_AccessoriesDuo_Senior[[#This Row],[Judge 3
Tea Softić]]-R2</f>
        <v>17.600000000000001</v>
      </c>
      <c r="T2" s="23">
        <f>COUNTIFS(Majorette_Duo_AccessoriesDuo_Senior[Age
Division],Majorette_Duo_AccessoriesDuo_Senior[[#This Row],[Age
Division]],Majorette_Duo_AccessoriesDuo_Senior[Category],Majorette_Duo_AccessoriesDuo_Senior[[#This Row],[Category]],Majorette_Duo_AccessoriesDuo_Senior[J3 TOTAL],"&gt;"&amp;Majorette_Duo_AccessoriesDuo_Senior[[#This Row],[J3 TOTAL]])+1</f>
        <v>1</v>
      </c>
      <c r="U2" s="20">
        <v>18.5</v>
      </c>
      <c r="V2" s="21">
        <v>2</v>
      </c>
      <c r="W2" s="22">
        <f>Majorette_Duo_AccessoriesDuo_Senior[[#This Row],[Judge 4
Bernard Barač]]-V2</f>
        <v>16.5</v>
      </c>
      <c r="X2" s="23">
        <f>COUNTIFS(Majorette_Duo_AccessoriesDuo_Senior[Age
Division],Majorette_Duo_AccessoriesDuo_Senior[[#This Row],[Age
Division]],Majorette_Duo_AccessoriesDuo_Senior[Category],Majorette_Duo_AccessoriesDuo_Senior[[#This Row],[Category]],Majorette_Duo_AccessoriesDuo_Senior[J4 TOTAL],"&gt;"&amp;Majorette_Duo_AccessoriesDuo_Senior[[#This Row],[J4 TOTAL]])+1</f>
        <v>1</v>
      </c>
      <c r="Y2" s="20">
        <v>12.8</v>
      </c>
      <c r="Z2" s="21">
        <v>2</v>
      </c>
      <c r="AA2" s="22">
        <f>Majorette_Duo_AccessoriesDuo_Senior[[#This Row],[Judge 5
Barbara Novina]]-Z2</f>
        <v>10.8</v>
      </c>
      <c r="AB2" s="23">
        <f>COUNTIFS(Majorette_Duo_AccessoriesDuo_Senior[Age
Division],Majorette_Duo_AccessoriesDuo_Senior[[#This Row],[Age
Division]],Majorette_Duo_AccessoriesDuo_Senior[Category],Majorette_Duo_AccessoriesDuo_Senior[[#This Row],[Category]],Majorette_Duo_AccessoriesDuo_Senior[J5 TOTAL],"&gt;"&amp;Majorette_Duo_AccessoriesDuo_Senior[[#This Row],[J5 TOTAL]])+1</f>
        <v>1</v>
      </c>
      <c r="AC2" s="24">
        <f>SUM(Majorette_Duo_AccessoriesDuo_Senior[[#This Row],[J1 TOTAL]]+Majorette_Duo_AccessoriesDuo_Senior[[#This Row],[J2 TOTAL]]+Majorette_Duo_AccessoriesDuo_Senior[[#This Row],[J3 TOTAL]]+Majorette_Duo_AccessoriesDuo_Senior[[#This Row],[J4 TOTAL]])+Majorette_Duo_AccessoriesDuo_Senior[[#This Row],[J5 TOTAL]]</f>
        <v>44.900000000000006</v>
      </c>
      <c r="AD2" s="24"/>
      <c r="AE2" s="24"/>
      <c r="AF2" s="24">
        <f>SUM(Majorette_Duo_AccessoriesDuo_Senior[[#This Row],[Total]]-Majorette_Duo_AccessoriesDuo_Senior[[#This Row],[Low]]-Majorette_Duo_AccessoriesDuo_Senior[[#This Row],[High]])</f>
        <v>44.900000000000006</v>
      </c>
      <c r="AG2" s="24">
        <f>AVERAGE(I2,M2,Q2,U2,Y2)</f>
        <v>16.966666666666669</v>
      </c>
      <c r="AH2" s="25">
        <f>Majorette_Duo_AccessoriesDuo_Senior[[#This Row],[Final Total]]</f>
        <v>44.900000000000006</v>
      </c>
      <c r="AI2" s="28">
        <f>COUNTIFS(Majorette_Duo_AccessoriesDuo_Senior[Age
Division],Majorette_Duo_AccessoriesDuo_Senior[[#This Row],[Age
Division]],Majorette_Duo_AccessoriesDuo_Senior[Category],Majorette_Duo_AccessoriesDuo_Senior[[#This Row],[Category]],Majorette_Duo_AccessoriesDuo_Senior[FINAL SCORE],"&gt;"&amp;Majorette_Duo_AccessoriesDuo_Senior[[#This Row],[FINAL SCORE]])+1</f>
        <v>1</v>
      </c>
      <c r="AJ2" s="16" t="s">
        <v>118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fkEBcDOwd44LwQ7ggD8ds+5YFsYr+URmLzcudjLuiTcEWlpxOjK1uHOhGtZKJIjKM/4bJQCJao9/GdsKknfC1A==" saltValue="EzVVLassiyqgDXsiyAfVoQ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B4F11-2B1E-4A59-BF9E-36B5B664C789}">
  <dimension ref="A1:BC2"/>
  <sheetViews>
    <sheetView zoomScale="80" zoomScaleNormal="80" workbookViewId="0">
      <pane xSplit="8" topLeftCell="I1" activePane="topRight" state="frozen"/>
      <selection activeCell="G18" sqref="G18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5.21875" style="29" customWidth="1"/>
    <col min="4" max="4" width="9.88671875" style="30" customWidth="1"/>
    <col min="5" max="5" width="16.33203125" style="30" hidden="1" customWidth="1"/>
    <col min="6" max="6" width="23.6640625" style="19" customWidth="1"/>
    <col min="7" max="7" width="25.88671875" style="19" customWidth="1"/>
    <col min="8" max="8" width="7.77734375" style="19" customWidth="1"/>
    <col min="9" max="16" width="9.109375" style="19" hidden="1" customWidth="1"/>
    <col min="17" max="28" width="9.109375" style="19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70</v>
      </c>
      <c r="B2" s="17">
        <v>2</v>
      </c>
      <c r="C2" s="17" t="s">
        <v>115</v>
      </c>
      <c r="D2" s="17" t="s">
        <v>30</v>
      </c>
      <c r="E2" s="17"/>
      <c r="F2" s="17" t="s">
        <v>117</v>
      </c>
      <c r="G2" s="17" t="s">
        <v>67</v>
      </c>
      <c r="H2" s="19" t="s">
        <v>25</v>
      </c>
      <c r="I2" s="20"/>
      <c r="J2" s="21"/>
      <c r="K2" s="22">
        <f>Majorette_Duo_PomponDuoTrio_Children[[#This Row],[Judge 1
Tamara Beljak]]-J2</f>
        <v>0</v>
      </c>
      <c r="L2" s="23">
        <f>COUNTIFS(Majorette_Duo_PomponDuoTrio_Children[Age
Division],Majorette_Duo_PomponDuoTrio_Children[[#This Row],[Age
Division]],Majorette_Duo_PomponDuoTrio_Children[Category],Majorette_Duo_PomponDuoTrio_Children[[#This Row],[Category]],Majorette_Duo_PomponDuoTrio_Children[J1 TOTAL],"&gt;"&amp;Majorette_Duo_PomponDuoTrio_Children[[#This Row],[J1 TOTAL]])+1</f>
        <v>1</v>
      </c>
      <c r="M2" s="20"/>
      <c r="N2" s="21"/>
      <c r="O2" s="22">
        <f>Majorette_Duo_PomponDuoTrio_Children[[#This Row],[Judge 2
Tihomir Bendelja]]-Majorette_Duo_PomponDuoTrio_Children[[#This Row],[J2 (-)]]</f>
        <v>0</v>
      </c>
      <c r="P2" s="23">
        <f>COUNTIFS(Majorette_Duo_PomponDuoTrio_Children[Age
Division],Majorette_Duo_PomponDuoTrio_Children[[#This Row],[Age
Division]],Majorette_Duo_PomponDuoTrio_Children[Category],Majorette_Duo_PomponDuoTrio_Children[[#This Row],[Category]],Majorette_Duo_PomponDuoTrio_Children[J2 TOTAL],"&gt;"&amp;Majorette_Duo_PomponDuoTrio_Children[[#This Row],[J2 TOTAL]])+1</f>
        <v>1</v>
      </c>
      <c r="Q2" s="20">
        <v>17.5</v>
      </c>
      <c r="R2" s="21">
        <v>0</v>
      </c>
      <c r="S2" s="22">
        <f>Majorette_Duo_PomponDuoTrio_Children[[#This Row],[Judge 3
Tea Softić]]-R2</f>
        <v>17.5</v>
      </c>
      <c r="T2" s="23">
        <f>COUNTIFS(Majorette_Duo_PomponDuoTrio_Children[Age
Division],Majorette_Duo_PomponDuoTrio_Children[[#This Row],[Age
Division]],Majorette_Duo_PomponDuoTrio_Children[Category],Majorette_Duo_PomponDuoTrio_Children[[#This Row],[Category]],Majorette_Duo_PomponDuoTrio_Children[J3 TOTAL],"&gt;"&amp;Majorette_Duo_PomponDuoTrio_Children[[#This Row],[J3 TOTAL]])+1</f>
        <v>1</v>
      </c>
      <c r="U2" s="20">
        <v>16.2</v>
      </c>
      <c r="V2" s="21">
        <v>0</v>
      </c>
      <c r="W2" s="22">
        <f>Majorette_Duo_PomponDuoTrio_Children[[#This Row],[Judge 4
Bernard Barač]]-V2</f>
        <v>16.2</v>
      </c>
      <c r="X2" s="23">
        <f>COUNTIFS(Majorette_Duo_PomponDuoTrio_Children[Age
Division],Majorette_Duo_PomponDuoTrio_Children[[#This Row],[Age
Division]],Majorette_Duo_PomponDuoTrio_Children[Category],Majorette_Duo_PomponDuoTrio_Children[[#This Row],[Category]],Majorette_Duo_PomponDuoTrio_Children[J4 TOTAL],"&gt;"&amp;Majorette_Duo_PomponDuoTrio_Children[[#This Row],[J4 TOTAL]])+1</f>
        <v>1</v>
      </c>
      <c r="Y2" s="20">
        <v>14.2</v>
      </c>
      <c r="Z2" s="21">
        <v>0</v>
      </c>
      <c r="AA2" s="22">
        <f>Majorette_Duo_PomponDuoTrio_Children[[#This Row],[Judge 5
Barbara Novina]]-Z2</f>
        <v>14.2</v>
      </c>
      <c r="AB2" s="23">
        <f>COUNTIFS(Majorette_Duo_PomponDuoTrio_Children[Age
Division],Majorette_Duo_PomponDuoTrio_Children[[#This Row],[Age
Division]],Majorette_Duo_PomponDuoTrio_Children[Category],Majorette_Duo_PomponDuoTrio_Children[[#This Row],[Category]],Majorette_Duo_PomponDuoTrio_Children[J5 TOTAL],"&gt;"&amp;Majorette_Duo_PomponDuoTrio_Children[[#This Row],[J5 TOTAL]])+1</f>
        <v>1</v>
      </c>
      <c r="AC2" s="24">
        <f>SUM(Majorette_Duo_PomponDuoTrio_Children[[#This Row],[J1 TOTAL]]+Majorette_Duo_PomponDuoTrio_Children[[#This Row],[J2 TOTAL]]+Majorette_Duo_PomponDuoTrio_Children[[#This Row],[J3 TOTAL]]+Majorette_Duo_PomponDuoTrio_Children[[#This Row],[J4 TOTAL]])+Majorette_Duo_PomponDuoTrio_Children[[#This Row],[J5 TOTAL]]</f>
        <v>47.900000000000006</v>
      </c>
      <c r="AD2" s="24"/>
      <c r="AE2" s="24"/>
      <c r="AF2" s="24">
        <f>SUM(Majorette_Duo_PomponDuoTrio_Children[[#This Row],[Total]]-Majorette_Duo_PomponDuoTrio_Children[[#This Row],[Low]]-Majorette_Duo_PomponDuoTrio_Children[[#This Row],[High]])</f>
        <v>47.900000000000006</v>
      </c>
      <c r="AG2" s="24">
        <f>AVERAGE(I2,M2,Q2,U2,Y2)</f>
        <v>15.966666666666669</v>
      </c>
      <c r="AH2" s="25">
        <f>Majorette_Duo_PomponDuoTrio_Children[[#This Row],[Final Total]]</f>
        <v>47.900000000000006</v>
      </c>
      <c r="AI2" s="28">
        <f>COUNTIFS(Majorette_Duo_PomponDuoTrio_Children[Age
Division],Majorette_Duo_PomponDuoTrio_Children[[#This Row],[Age
Division]],Majorette_Duo_PomponDuoTrio_Children[Category],Majorette_Duo_PomponDuoTrio_Children[[#This Row],[Category]],Majorette_Duo_PomponDuoTrio_Children[FINAL SCORE],"&gt;"&amp;Majorette_Duo_PomponDuoTrio_Children[[#This Row],[FINAL SCORE]])+1</f>
        <v>1</v>
      </c>
      <c r="AJ2" s="16" t="s">
        <v>118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wn5+UZ6j42qrRyV+1Ef7W7ZvocXPdZB8ZgOfmUPBbXhFgQbnVVvZNV+u9FkRiENhJHFomXV8DslYhevmiKpTOA==" saltValue="+qDAKK1EIU9tdXT27ed7rw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07437-910F-4223-9E5C-3B41968BA15E}">
  <dimension ref="A1:BC8"/>
  <sheetViews>
    <sheetView zoomScale="80" zoomScaleNormal="80" workbookViewId="0">
      <pane xSplit="8" topLeftCell="I1" activePane="topRight" state="frozen"/>
      <selection activeCell="R26" sqref="R26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4.109375" style="29" customWidth="1"/>
    <col min="4" max="4" width="8.6640625" style="30" customWidth="1"/>
    <col min="5" max="5" width="16.33203125" style="30" hidden="1" customWidth="1"/>
    <col min="6" max="6" width="15" style="19" customWidth="1"/>
    <col min="7" max="7" width="45.21875" style="19" customWidth="1"/>
    <col min="8" max="8" width="8.88671875" style="19" customWidth="1"/>
    <col min="9" max="12" width="9.109375" style="19" hidden="1" customWidth="1"/>
    <col min="13" max="16" width="9.109375" style="19" customWidth="1"/>
    <col min="17" max="20" width="9.109375" style="19" hidden="1" customWidth="1"/>
    <col min="21" max="28" width="9.109375" style="19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200000000000003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29</v>
      </c>
      <c r="B2" s="17">
        <v>2</v>
      </c>
      <c r="C2" s="17" t="s">
        <v>53</v>
      </c>
      <c r="D2" s="17" t="s">
        <v>23</v>
      </c>
      <c r="E2" s="18"/>
      <c r="F2" s="17" t="s">
        <v>66</v>
      </c>
      <c r="G2" s="27" t="s">
        <v>67</v>
      </c>
      <c r="H2" s="19" t="s">
        <v>25</v>
      </c>
      <c r="I2" s="20"/>
      <c r="J2" s="21"/>
      <c r="K2" s="22">
        <f>Majorette_Solo_MajoretteSolo_Cadet[[#This Row],[Judge 1
Tamara Beljak]]-J2</f>
        <v>0</v>
      </c>
      <c r="L2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Row],[Category]],Majorette_Solo_MajoretteSolo_Cadet[J1 TOTAL],"&gt;"&amp;Majorette_Solo_MajoretteSolo_Cadet[[#This Row],[J1 TOTAL]])+1</f>
        <v>1</v>
      </c>
      <c r="M2" s="20">
        <v>20.3</v>
      </c>
      <c r="N2" s="21">
        <v>1.5</v>
      </c>
      <c r="O2" s="22">
        <f>Majorette_Solo_MajoretteSolo_Cadet[[#This Row],[Judge 2
Tihomir Bendelja]]-Majorette_Solo_MajoretteSolo_Cadet[[#This Row],[J2 (-)]]</f>
        <v>18.8</v>
      </c>
      <c r="P2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Row],[Category]],Majorette_Solo_MajoretteSolo_Cadet[J2 TOTAL],"&gt;"&amp;Majorette_Solo_MajoretteSolo_Cadet[[#This Row],[J2 TOTAL]])+1</f>
        <v>1</v>
      </c>
      <c r="Q2" s="20"/>
      <c r="R2" s="21"/>
      <c r="S2" s="22">
        <f>Majorette_Solo_MajoretteSolo_Cadet[[#This Row],[Judge 3
Tea Softić]]-R2</f>
        <v>0</v>
      </c>
      <c r="T2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Row],[Category]],Majorette_Solo_MajoretteSolo_Cadet[J3 TOTAL],"&gt;"&amp;Majorette_Solo_MajoretteSolo_Cadet[[#This Row],[J3 TOTAL]])+1</f>
        <v>1</v>
      </c>
      <c r="U2" s="20">
        <v>14.4</v>
      </c>
      <c r="V2" s="21">
        <v>1.5</v>
      </c>
      <c r="W2" s="22">
        <f>Majorette_Solo_MajoretteSolo_Cadet[[#This Row],[Judge 4
Bernard Barač]]-V2</f>
        <v>12.9</v>
      </c>
      <c r="X2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Row],[Category]],Majorette_Solo_MajoretteSolo_Cadet[J4 TOTAL],"&gt;"&amp;Majorette_Solo_MajoretteSolo_Cadet[[#This Row],[J4 TOTAL]])+1</f>
        <v>3</v>
      </c>
      <c r="Y2" s="20">
        <v>14.4</v>
      </c>
      <c r="Z2" s="21">
        <v>1.5</v>
      </c>
      <c r="AA2" s="22">
        <f>Majorette_Solo_MajoretteSolo_Cadet[[#This Row],[Judge 5
Barbara Novina]]-Z2</f>
        <v>12.9</v>
      </c>
      <c r="AB2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Row],[Category]],Majorette_Solo_MajoretteSolo_Cadet[J5 TOTAL],"&gt;"&amp;Majorette_Solo_MajoretteSolo_Cadet[[#This Row],[J5 TOTAL]])+1</f>
        <v>1</v>
      </c>
      <c r="AC2" s="24">
        <f>SUM(Majorette_Solo_MajoretteSolo_Cadet[[#This Row],[J1 TOTAL]]+Majorette_Solo_MajoretteSolo_Cadet[[#This Row],[J2 TOTAL]]+Majorette_Solo_MajoretteSolo_Cadet[[#This Row],[J3 TOTAL]]+Majorette_Solo_MajoretteSolo_Cadet[[#This Row],[J4 TOTAL]])+Majorette_Solo_MajoretteSolo_Cadet[[#This Row],[J5 TOTAL]]</f>
        <v>44.6</v>
      </c>
      <c r="AD2" s="24"/>
      <c r="AE2" s="24"/>
      <c r="AF2" s="24">
        <f>SUM(Majorette_Solo_MajoretteSolo_Cadet[[#This Row],[Total]]-Majorette_Solo_MajoretteSolo_Cadet[[#This Row],[Low]]-Majorette_Solo_MajoretteSolo_Cadet[[#This Row],[High]])</f>
        <v>44.6</v>
      </c>
      <c r="AG2" s="24">
        <f t="shared" ref="AG2:AG8" si="0">AVERAGE(I2,M2,Q2,U2,Y2)</f>
        <v>16.366666666666667</v>
      </c>
      <c r="AH2" s="25">
        <f>Majorette_Solo_MajoretteSolo_Cadet[[#This Row],[Final Total]]</f>
        <v>44.6</v>
      </c>
      <c r="AI2" s="26">
        <f>COUNTIFS(Majorette_Solo_MajoretteSolo_Cadet[Age
Division],Majorette_Solo_MajoretteSolo_Cadet[[#This Row],[Age
Division]],Majorette_Solo_MajoretteSolo_Cadet[Category],Majorette_Solo_MajoretteSolo_Cadet[[#This Row],[Category]],Majorette_Solo_MajoretteSolo_Cadet[FINAL SCORE],"&gt;"&amp;Majorette_Solo_MajoretteSolo_Cadet[[#This Row],[FINAL SCORE]])+1</f>
        <v>1</v>
      </c>
      <c r="AJ2" s="16" t="s">
        <v>33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31</v>
      </c>
      <c r="B3" s="17">
        <v>2</v>
      </c>
      <c r="C3" s="17" t="s">
        <v>53</v>
      </c>
      <c r="D3" s="17" t="s">
        <v>23</v>
      </c>
      <c r="E3" s="18"/>
      <c r="F3" s="17" t="s">
        <v>68</v>
      </c>
      <c r="G3" s="27" t="s">
        <v>31</v>
      </c>
      <c r="H3" s="19" t="s">
        <v>25</v>
      </c>
      <c r="I3" s="20"/>
      <c r="J3" s="21"/>
      <c r="K3" s="22">
        <f>Majorette_Solo_MajoretteSolo_Cadet[[#This Row],[Judge 1
Tamara Beljak]]-J3</f>
        <v>0</v>
      </c>
      <c r="L3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Row],[Category]],Majorette_Solo_MajoretteSolo_Cadet[J1 TOTAL],"&gt;"&amp;Majorette_Solo_MajoretteSolo_Cadet[[#This Row],[J1 TOTAL]])+1</f>
        <v>1</v>
      </c>
      <c r="M3" s="20">
        <v>18.7</v>
      </c>
      <c r="N3" s="21">
        <v>0</v>
      </c>
      <c r="O3" s="22">
        <f>Majorette_Solo_MajoretteSolo_Cadet[[#This Row],[Judge 2
Tihomir Bendelja]]-Majorette_Solo_MajoretteSolo_Cadet[[#This Row],[J2 (-)]]</f>
        <v>18.7</v>
      </c>
      <c r="P3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Row],[Category]],Majorette_Solo_MajoretteSolo_Cadet[J2 TOTAL],"&gt;"&amp;Majorette_Solo_MajoretteSolo_Cadet[[#This Row],[J2 TOTAL]])+1</f>
        <v>2</v>
      </c>
      <c r="Q3" s="20"/>
      <c r="R3" s="21"/>
      <c r="S3" s="22">
        <f>Majorette_Solo_MajoretteSolo_Cadet[[#This Row],[Judge 3
Tea Softić]]-R3</f>
        <v>0</v>
      </c>
      <c r="T3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Row],[Category]],Majorette_Solo_MajoretteSolo_Cadet[J3 TOTAL],"&gt;"&amp;Majorette_Solo_MajoretteSolo_Cadet[[#This Row],[J3 TOTAL]])+1</f>
        <v>1</v>
      </c>
      <c r="U3" s="20">
        <v>13.8</v>
      </c>
      <c r="V3" s="21">
        <v>0</v>
      </c>
      <c r="W3" s="22">
        <f>Majorette_Solo_MajoretteSolo_Cadet[[#This Row],[Judge 4
Bernard Barač]]-V3</f>
        <v>13.8</v>
      </c>
      <c r="X3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Row],[Category]],Majorette_Solo_MajoretteSolo_Cadet[J4 TOTAL],"&gt;"&amp;Majorette_Solo_MajoretteSolo_Cadet[[#This Row],[J4 TOTAL]])+1</f>
        <v>2</v>
      </c>
      <c r="Y3" s="20">
        <v>11.65</v>
      </c>
      <c r="Z3" s="21">
        <v>0</v>
      </c>
      <c r="AA3" s="22">
        <f>Majorette_Solo_MajoretteSolo_Cadet[[#This Row],[Judge 5
Barbara Novina]]-Z3</f>
        <v>11.65</v>
      </c>
      <c r="AB3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Row],[Category]],Majorette_Solo_MajoretteSolo_Cadet[J5 TOTAL],"&gt;"&amp;Majorette_Solo_MajoretteSolo_Cadet[[#This Row],[J5 TOTAL]])+1</f>
        <v>5</v>
      </c>
      <c r="AC3" s="24">
        <f>SUM(Majorette_Solo_MajoretteSolo_Cadet[[#This Row],[J1 TOTAL]]+Majorette_Solo_MajoretteSolo_Cadet[[#This Row],[J2 TOTAL]]+Majorette_Solo_MajoretteSolo_Cadet[[#This Row],[J3 TOTAL]]+Majorette_Solo_MajoretteSolo_Cadet[[#This Row],[J4 TOTAL]])+Majorette_Solo_MajoretteSolo_Cadet[[#This Row],[J5 TOTAL]]</f>
        <v>44.15</v>
      </c>
      <c r="AD3" s="24"/>
      <c r="AE3" s="24"/>
      <c r="AF3" s="24">
        <f>SUM(Majorette_Solo_MajoretteSolo_Cadet[[#This Row],[Total]]-Majorette_Solo_MajoretteSolo_Cadet[[#This Row],[Low]]-Majorette_Solo_MajoretteSolo_Cadet[[#This Row],[High]])</f>
        <v>44.15</v>
      </c>
      <c r="AG3" s="24">
        <f t="shared" si="0"/>
        <v>14.716666666666667</v>
      </c>
      <c r="AH3" s="25">
        <f>Majorette_Solo_MajoretteSolo_Cadet[[#This Row],[Final Total]]</f>
        <v>44.15</v>
      </c>
      <c r="AI3" s="26">
        <f>COUNTIFS(Majorette_Solo_MajoretteSolo_Cadet[Age
Division],Majorette_Solo_MajoretteSolo_Cadet[[#This Row],[Age
Division]],Majorette_Solo_MajoretteSolo_Cadet[Category],Majorette_Solo_MajoretteSolo_Cadet[[#This Row],[Category]],Majorette_Solo_MajoretteSolo_Cadet[FINAL SCORE],"&gt;"&amp;Majorette_Solo_MajoretteSolo_Cadet[[#This Row],[FINAL SCORE]])+1</f>
        <v>2</v>
      </c>
      <c r="AJ3" s="16" t="s">
        <v>33</v>
      </c>
    </row>
    <row r="4" spans="1:55" ht="15.6" x14ac:dyDescent="0.3">
      <c r="A4" s="16">
        <v>19</v>
      </c>
      <c r="B4" s="17">
        <v>2</v>
      </c>
      <c r="C4" s="17" t="s">
        <v>53</v>
      </c>
      <c r="D4" s="17" t="s">
        <v>23</v>
      </c>
      <c r="E4" s="17"/>
      <c r="F4" s="17" t="s">
        <v>61</v>
      </c>
      <c r="G4" s="27" t="s">
        <v>31</v>
      </c>
      <c r="H4" s="19" t="s">
        <v>25</v>
      </c>
      <c r="I4" s="20"/>
      <c r="J4" s="21"/>
      <c r="K4" s="22">
        <f>Majorette_Solo_MajoretteSolo_Cadet[[#This Row],[Judge 1
Tamara Beljak]]-J4</f>
        <v>0</v>
      </c>
      <c r="L4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Row],[Category]],Majorette_Solo_MajoretteSolo_Cadet[J1 TOTAL],"&gt;"&amp;Majorette_Solo_MajoretteSolo_Cadet[[#This Row],[J1 TOTAL]])+1</f>
        <v>1</v>
      </c>
      <c r="M4" s="20">
        <v>18.399999999999999</v>
      </c>
      <c r="N4" s="21">
        <v>0.5</v>
      </c>
      <c r="O4" s="22">
        <f>Majorette_Solo_MajoretteSolo_Cadet[[#This Row],[Judge 2
Tihomir Bendelja]]-Majorette_Solo_MajoretteSolo_Cadet[[#This Row],[J2 (-)]]</f>
        <v>17.899999999999999</v>
      </c>
      <c r="P4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Row],[Category]],Majorette_Solo_MajoretteSolo_Cadet[J2 TOTAL],"&gt;"&amp;Majorette_Solo_MajoretteSolo_Cadet[[#This Row],[J2 TOTAL]])+1</f>
        <v>3</v>
      </c>
      <c r="Q4" s="20"/>
      <c r="R4" s="21"/>
      <c r="S4" s="22">
        <f>Majorette_Solo_MajoretteSolo_Cadet[[#This Row],[Judge 3
Tea Softić]]-R4</f>
        <v>0</v>
      </c>
      <c r="T4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Row],[Category]],Majorette_Solo_MajoretteSolo_Cadet[J3 TOTAL],"&gt;"&amp;Majorette_Solo_MajoretteSolo_Cadet[[#This Row],[J3 TOTAL]])+1</f>
        <v>1</v>
      </c>
      <c r="U4" s="20">
        <v>13.2</v>
      </c>
      <c r="V4" s="21">
        <v>0.5</v>
      </c>
      <c r="W4" s="22">
        <f>Majorette_Solo_MajoretteSolo_Cadet[[#This Row],[Judge 4
Bernard Barač]]-V4</f>
        <v>12.7</v>
      </c>
      <c r="X4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Row],[Category]],Majorette_Solo_MajoretteSolo_Cadet[J4 TOTAL],"&gt;"&amp;Majorette_Solo_MajoretteSolo_Cadet[[#This Row],[J4 TOTAL]])+1</f>
        <v>4</v>
      </c>
      <c r="Y4" s="20">
        <v>12.8</v>
      </c>
      <c r="Z4" s="21">
        <v>0.5</v>
      </c>
      <c r="AA4" s="22">
        <f>Majorette_Solo_MajoretteSolo_Cadet[[#This Row],[Judge 5
Barbara Novina]]-Z4</f>
        <v>12.3</v>
      </c>
      <c r="AB4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Row],[Category]],Majorette_Solo_MajoretteSolo_Cadet[J5 TOTAL],"&gt;"&amp;Majorette_Solo_MajoretteSolo_Cadet[[#This Row],[J5 TOTAL]])+1</f>
        <v>2</v>
      </c>
      <c r="AC4" s="24">
        <f>SUM(Majorette_Solo_MajoretteSolo_Cadet[[#This Row],[J1 TOTAL]]+Majorette_Solo_MajoretteSolo_Cadet[[#This Row],[J2 TOTAL]]+Majorette_Solo_MajoretteSolo_Cadet[[#This Row],[J3 TOTAL]]+Majorette_Solo_MajoretteSolo_Cadet[[#This Row],[J4 TOTAL]])+Majorette_Solo_MajoretteSolo_Cadet[[#This Row],[J5 TOTAL]]</f>
        <v>42.9</v>
      </c>
      <c r="AD4" s="24"/>
      <c r="AE4" s="24"/>
      <c r="AF4" s="24">
        <f>SUM(Majorette_Solo_MajoretteSolo_Cadet[[#This Row],[Total]]-Majorette_Solo_MajoretteSolo_Cadet[[#This Row],[Low]]-Majorette_Solo_MajoretteSolo_Cadet[[#This Row],[High]])</f>
        <v>42.9</v>
      </c>
      <c r="AG4" s="24">
        <f t="shared" si="0"/>
        <v>14.799999999999999</v>
      </c>
      <c r="AH4" s="25">
        <f>Majorette_Solo_MajoretteSolo_Cadet[[#This Row],[Final Total]]</f>
        <v>42.9</v>
      </c>
      <c r="AI4" s="28">
        <f>COUNTIFS(Majorette_Solo_MajoretteSolo_Cadet[Age
Division],Majorette_Solo_MajoretteSolo_Cadet[[#This Row],[Age
Division]],Majorette_Solo_MajoretteSolo_Cadet[Category],Majorette_Solo_MajoretteSolo_Cadet[[#This Row],[Category]],Majorette_Solo_MajoretteSolo_Cadet[FINAL SCORE],"&gt;"&amp;Majorette_Solo_MajoretteSolo_Cadet[[#This Row],[FINAL SCORE]])+1</f>
        <v>3</v>
      </c>
      <c r="AJ4" s="16" t="s">
        <v>33</v>
      </c>
    </row>
    <row r="5" spans="1:55" ht="15.6" x14ac:dyDescent="0.3">
      <c r="A5" s="16">
        <v>25</v>
      </c>
      <c r="B5" s="17">
        <v>2</v>
      </c>
      <c r="C5" s="17" t="s">
        <v>53</v>
      </c>
      <c r="D5" s="17" t="s">
        <v>23</v>
      </c>
      <c r="E5" s="18"/>
      <c r="F5" s="17" t="s">
        <v>64</v>
      </c>
      <c r="G5" s="27" t="s">
        <v>31</v>
      </c>
      <c r="H5" s="19" t="s">
        <v>25</v>
      </c>
      <c r="I5" s="20"/>
      <c r="J5" s="21"/>
      <c r="K5" s="22">
        <f>Majorette_Solo_MajoretteSolo_Cadet[[#This Row],[Judge 1
Tamara Beljak]]-J5</f>
        <v>0</v>
      </c>
      <c r="L5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Row],[Category]],Majorette_Solo_MajoretteSolo_Cadet[J1 TOTAL],"&gt;"&amp;Majorette_Solo_MajoretteSolo_Cadet[[#This Row],[J1 TOTAL]])+1</f>
        <v>1</v>
      </c>
      <c r="M5" s="20">
        <v>17</v>
      </c>
      <c r="N5" s="21">
        <v>0.5</v>
      </c>
      <c r="O5" s="22">
        <f>Majorette_Solo_MajoretteSolo_Cadet[[#This Row],[Judge 2
Tihomir Bendelja]]-Majorette_Solo_MajoretteSolo_Cadet[[#This Row],[J2 (-)]]</f>
        <v>16.5</v>
      </c>
      <c r="P5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Row],[Category]],Majorette_Solo_MajoretteSolo_Cadet[J2 TOTAL],"&gt;"&amp;Majorette_Solo_MajoretteSolo_Cadet[[#This Row],[J2 TOTAL]])+1</f>
        <v>6</v>
      </c>
      <c r="Q5" s="20"/>
      <c r="R5" s="21"/>
      <c r="S5" s="22">
        <f>Majorette_Solo_MajoretteSolo_Cadet[[#This Row],[Judge 3
Tea Softić]]-R5</f>
        <v>0</v>
      </c>
      <c r="T5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Row],[Category]],Majorette_Solo_MajoretteSolo_Cadet[J3 TOTAL],"&gt;"&amp;Majorette_Solo_MajoretteSolo_Cadet[[#This Row],[J3 TOTAL]])+1</f>
        <v>1</v>
      </c>
      <c r="U5" s="20">
        <v>14.4</v>
      </c>
      <c r="V5" s="21">
        <v>0.5</v>
      </c>
      <c r="W5" s="22">
        <f>Majorette_Solo_MajoretteSolo_Cadet[[#This Row],[Judge 4
Bernard Barač]]-V5</f>
        <v>13.9</v>
      </c>
      <c r="X5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Row],[Category]],Majorette_Solo_MajoretteSolo_Cadet[J4 TOTAL],"&gt;"&amp;Majorette_Solo_MajoretteSolo_Cadet[[#This Row],[J4 TOTAL]])+1</f>
        <v>1</v>
      </c>
      <c r="Y5" s="20">
        <v>12.7</v>
      </c>
      <c r="Z5" s="21">
        <v>0.5</v>
      </c>
      <c r="AA5" s="22">
        <f>Majorette_Solo_MajoretteSolo_Cadet[[#This Row],[Judge 5
Barbara Novina]]-Z5</f>
        <v>12.2</v>
      </c>
      <c r="AB5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Row],[Category]],Majorette_Solo_MajoretteSolo_Cadet[J5 TOTAL],"&gt;"&amp;Majorette_Solo_MajoretteSolo_Cadet[[#This Row],[J5 TOTAL]])+1</f>
        <v>3</v>
      </c>
      <c r="AC5" s="24">
        <f>SUM(Majorette_Solo_MajoretteSolo_Cadet[[#This Row],[J1 TOTAL]]+Majorette_Solo_MajoretteSolo_Cadet[[#This Row],[J2 TOTAL]]+Majorette_Solo_MajoretteSolo_Cadet[[#This Row],[J3 TOTAL]]+Majorette_Solo_MajoretteSolo_Cadet[[#This Row],[J4 TOTAL]])+Majorette_Solo_MajoretteSolo_Cadet[[#This Row],[J5 TOTAL]]</f>
        <v>42.599999999999994</v>
      </c>
      <c r="AD5" s="24"/>
      <c r="AE5" s="24"/>
      <c r="AF5" s="24">
        <f>SUM(Majorette_Solo_MajoretteSolo_Cadet[[#This Row],[Total]]-Majorette_Solo_MajoretteSolo_Cadet[[#This Row],[Low]]-Majorette_Solo_MajoretteSolo_Cadet[[#This Row],[High]])</f>
        <v>42.599999999999994</v>
      </c>
      <c r="AG5" s="24">
        <f t="shared" si="0"/>
        <v>14.699999999999998</v>
      </c>
      <c r="AH5" s="25">
        <f>Majorette_Solo_MajoretteSolo_Cadet[[#This Row],[Final Total]]</f>
        <v>42.599999999999994</v>
      </c>
      <c r="AI5" s="26">
        <f>COUNTIFS(Majorette_Solo_MajoretteSolo_Cadet[Age
Division],Majorette_Solo_MajoretteSolo_Cadet[[#This Row],[Age
Division]],Majorette_Solo_MajoretteSolo_Cadet[Category],Majorette_Solo_MajoretteSolo_Cadet[[#This Row],[Category]],Majorette_Solo_MajoretteSolo_Cadet[FINAL SCORE],"&gt;"&amp;Majorette_Solo_MajoretteSolo_Cadet[[#This Row],[FINAL SCORE]])+1</f>
        <v>4</v>
      </c>
      <c r="AJ5" s="16" t="s">
        <v>33</v>
      </c>
    </row>
    <row r="6" spans="1:55" ht="15.6" x14ac:dyDescent="0.3">
      <c r="A6" s="16">
        <v>21</v>
      </c>
      <c r="B6" s="17">
        <v>2</v>
      </c>
      <c r="C6" s="17" t="s">
        <v>53</v>
      </c>
      <c r="D6" s="17" t="s">
        <v>23</v>
      </c>
      <c r="E6" s="17"/>
      <c r="F6" s="17" t="s">
        <v>62</v>
      </c>
      <c r="G6" s="27" t="s">
        <v>31</v>
      </c>
      <c r="H6" s="19" t="s">
        <v>25</v>
      </c>
      <c r="I6" s="20"/>
      <c r="J6" s="21"/>
      <c r="K6" s="22">
        <f>Majorette_Solo_MajoretteSolo_Cadet[[#This Row],[Judge 1
Tamara Beljak]]-J6</f>
        <v>0</v>
      </c>
      <c r="L6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Row],[Category]],Majorette_Solo_MajoretteSolo_Cadet[J1 TOTAL],"&gt;"&amp;Majorette_Solo_MajoretteSolo_Cadet[[#This Row],[J1 TOTAL]])+1</f>
        <v>1</v>
      </c>
      <c r="M6" s="20">
        <v>17.2</v>
      </c>
      <c r="N6" s="21">
        <v>0.5</v>
      </c>
      <c r="O6" s="22">
        <f>Majorette_Solo_MajoretteSolo_Cadet[[#This Row],[Judge 2
Tihomir Bendelja]]-Majorette_Solo_MajoretteSolo_Cadet[[#This Row],[J2 (-)]]</f>
        <v>16.7</v>
      </c>
      <c r="P6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Row],[Category]],Majorette_Solo_MajoretteSolo_Cadet[J2 TOTAL],"&gt;"&amp;Majorette_Solo_MajoretteSolo_Cadet[[#This Row],[J2 TOTAL]])+1</f>
        <v>4</v>
      </c>
      <c r="Q6" s="20"/>
      <c r="R6" s="21"/>
      <c r="S6" s="22">
        <f>Majorette_Solo_MajoretteSolo_Cadet[[#This Row],[Judge 3
Tea Softić]]-R6</f>
        <v>0</v>
      </c>
      <c r="T6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Row],[Category]],Majorette_Solo_MajoretteSolo_Cadet[J3 TOTAL],"&gt;"&amp;Majorette_Solo_MajoretteSolo_Cadet[[#This Row],[J3 TOTAL]])+1</f>
        <v>1</v>
      </c>
      <c r="U6" s="20">
        <v>13.1</v>
      </c>
      <c r="V6" s="21">
        <v>0.5</v>
      </c>
      <c r="W6" s="22">
        <f>Majorette_Solo_MajoretteSolo_Cadet[[#This Row],[Judge 4
Bernard Barač]]-V6</f>
        <v>12.6</v>
      </c>
      <c r="X6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Row],[Category]],Majorette_Solo_MajoretteSolo_Cadet[J4 TOTAL],"&gt;"&amp;Majorette_Solo_MajoretteSolo_Cadet[[#This Row],[J4 TOTAL]])+1</f>
        <v>5</v>
      </c>
      <c r="Y6" s="20">
        <v>12.4</v>
      </c>
      <c r="Z6" s="21">
        <v>0.5</v>
      </c>
      <c r="AA6" s="22">
        <f>Majorette_Solo_MajoretteSolo_Cadet[[#This Row],[Judge 5
Barbara Novina]]-Z6</f>
        <v>11.9</v>
      </c>
      <c r="AB6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Row],[Category]],Majorette_Solo_MajoretteSolo_Cadet[J5 TOTAL],"&gt;"&amp;Majorette_Solo_MajoretteSolo_Cadet[[#This Row],[J5 TOTAL]])+1</f>
        <v>4</v>
      </c>
      <c r="AC6" s="24">
        <f>SUM(Majorette_Solo_MajoretteSolo_Cadet[[#This Row],[J1 TOTAL]]+Majorette_Solo_MajoretteSolo_Cadet[[#This Row],[J2 TOTAL]]+Majorette_Solo_MajoretteSolo_Cadet[[#This Row],[J3 TOTAL]]+Majorette_Solo_MajoretteSolo_Cadet[[#This Row],[J4 TOTAL]])+Majorette_Solo_MajoretteSolo_Cadet[[#This Row],[J5 TOTAL]]</f>
        <v>41.199999999999996</v>
      </c>
      <c r="AD6" s="24"/>
      <c r="AE6" s="24"/>
      <c r="AF6" s="24">
        <f>SUM(Majorette_Solo_MajoretteSolo_Cadet[[#This Row],[Total]]-Majorette_Solo_MajoretteSolo_Cadet[[#This Row],[Low]]-Majorette_Solo_MajoretteSolo_Cadet[[#This Row],[High]])</f>
        <v>41.199999999999996</v>
      </c>
      <c r="AG6" s="24">
        <f t="shared" si="0"/>
        <v>14.233333333333333</v>
      </c>
      <c r="AH6" s="25">
        <f>Majorette_Solo_MajoretteSolo_Cadet[[#This Row],[Final Total]]</f>
        <v>41.199999999999996</v>
      </c>
      <c r="AI6" s="26">
        <f>COUNTIFS(Majorette_Solo_MajoretteSolo_Cadet[Age
Division],Majorette_Solo_MajoretteSolo_Cadet[[#This Row],[Age
Division]],Majorette_Solo_MajoretteSolo_Cadet[Category],Majorette_Solo_MajoretteSolo_Cadet[[#This Row],[Category]],Majorette_Solo_MajoretteSolo_Cadet[FINAL SCORE],"&gt;"&amp;Majorette_Solo_MajoretteSolo_Cadet[[#This Row],[FINAL SCORE]])+1</f>
        <v>5</v>
      </c>
      <c r="AJ6" s="16" t="s">
        <v>33</v>
      </c>
    </row>
    <row r="7" spans="1:55" ht="15.6" x14ac:dyDescent="0.3">
      <c r="A7" s="16">
        <v>27</v>
      </c>
      <c r="B7" s="17">
        <v>2</v>
      </c>
      <c r="C7" s="17" t="s">
        <v>53</v>
      </c>
      <c r="D7" s="17" t="s">
        <v>23</v>
      </c>
      <c r="E7" s="18"/>
      <c r="F7" s="17" t="s">
        <v>65</v>
      </c>
      <c r="G7" s="27" t="s">
        <v>24</v>
      </c>
      <c r="H7" s="19" t="s">
        <v>25</v>
      </c>
      <c r="I7" s="20"/>
      <c r="J7" s="21"/>
      <c r="K7" s="22">
        <f>Majorette_Solo_MajoretteSolo_Cadet[[#This Row],[Judge 1
Tamara Beljak]]-J7</f>
        <v>0</v>
      </c>
      <c r="L7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Row],[Category]],Majorette_Solo_MajoretteSolo_Cadet[J1 TOTAL],"&gt;"&amp;Majorette_Solo_MajoretteSolo_Cadet[[#This Row],[J1 TOTAL]])+1</f>
        <v>1</v>
      </c>
      <c r="M7" s="20">
        <v>17.100000000000001</v>
      </c>
      <c r="N7" s="21">
        <v>0.5</v>
      </c>
      <c r="O7" s="22">
        <f>Majorette_Solo_MajoretteSolo_Cadet[[#This Row],[Judge 2
Tihomir Bendelja]]-Majorette_Solo_MajoretteSolo_Cadet[[#This Row],[J2 (-)]]</f>
        <v>16.600000000000001</v>
      </c>
      <c r="P7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Row],[Category]],Majorette_Solo_MajoretteSolo_Cadet[J2 TOTAL],"&gt;"&amp;Majorette_Solo_MajoretteSolo_Cadet[[#This Row],[J2 TOTAL]])+1</f>
        <v>5</v>
      </c>
      <c r="Q7" s="20"/>
      <c r="R7" s="21"/>
      <c r="S7" s="22">
        <f>Majorette_Solo_MajoretteSolo_Cadet[[#This Row],[Judge 3
Tea Softić]]-R7</f>
        <v>0</v>
      </c>
      <c r="T7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Row],[Category]],Majorette_Solo_MajoretteSolo_Cadet[J3 TOTAL],"&gt;"&amp;Majorette_Solo_MajoretteSolo_Cadet[[#This Row],[J3 TOTAL]])+1</f>
        <v>1</v>
      </c>
      <c r="U7" s="20">
        <v>12.6</v>
      </c>
      <c r="V7" s="21">
        <v>0.5</v>
      </c>
      <c r="W7" s="22">
        <f>Majorette_Solo_MajoretteSolo_Cadet[[#This Row],[Judge 4
Bernard Barač]]-V7</f>
        <v>12.1</v>
      </c>
      <c r="X7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Row],[Category]],Majorette_Solo_MajoretteSolo_Cadet[J4 TOTAL],"&gt;"&amp;Majorette_Solo_MajoretteSolo_Cadet[[#This Row],[J4 TOTAL]])+1</f>
        <v>6</v>
      </c>
      <c r="Y7" s="20">
        <v>10.5</v>
      </c>
      <c r="Z7" s="21">
        <v>0.5</v>
      </c>
      <c r="AA7" s="22">
        <f>Majorette_Solo_MajoretteSolo_Cadet[[#This Row],[Judge 5
Barbara Novina]]-Z7</f>
        <v>10</v>
      </c>
      <c r="AB7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Row],[Category]],Majorette_Solo_MajoretteSolo_Cadet[J5 TOTAL],"&gt;"&amp;Majorette_Solo_MajoretteSolo_Cadet[[#This Row],[J5 TOTAL]])+1</f>
        <v>6</v>
      </c>
      <c r="AC7" s="24">
        <f>SUM(Majorette_Solo_MajoretteSolo_Cadet[[#This Row],[J1 TOTAL]]+Majorette_Solo_MajoretteSolo_Cadet[[#This Row],[J2 TOTAL]]+Majorette_Solo_MajoretteSolo_Cadet[[#This Row],[J3 TOTAL]]+Majorette_Solo_MajoretteSolo_Cadet[[#This Row],[J4 TOTAL]])+Majorette_Solo_MajoretteSolo_Cadet[[#This Row],[J5 TOTAL]]</f>
        <v>38.700000000000003</v>
      </c>
      <c r="AD7" s="24"/>
      <c r="AE7" s="24"/>
      <c r="AF7" s="24">
        <f>SUM(Majorette_Solo_MajoretteSolo_Cadet[[#This Row],[Total]]-Majorette_Solo_MajoretteSolo_Cadet[[#This Row],[Low]]-Majorette_Solo_MajoretteSolo_Cadet[[#This Row],[High]])</f>
        <v>38.700000000000003</v>
      </c>
      <c r="AG7" s="24">
        <f t="shared" si="0"/>
        <v>13.4</v>
      </c>
      <c r="AH7" s="25">
        <f>Majorette_Solo_MajoretteSolo_Cadet[[#This Row],[Final Total]]</f>
        <v>38.700000000000003</v>
      </c>
      <c r="AI7" s="26">
        <f>COUNTIFS(Majorette_Solo_MajoretteSolo_Cadet[Age
Division],Majorette_Solo_MajoretteSolo_Cadet[[#This Row],[Age
Division]],Majorette_Solo_MajoretteSolo_Cadet[Category],Majorette_Solo_MajoretteSolo_Cadet[[#This Row],[Category]],Majorette_Solo_MajoretteSolo_Cadet[FINAL SCORE],"&gt;"&amp;Majorette_Solo_MajoretteSolo_Cadet[[#This Row],[FINAL SCORE]])+1</f>
        <v>6</v>
      </c>
      <c r="AJ7" s="16" t="s">
        <v>33</v>
      </c>
    </row>
    <row r="8" spans="1:55" ht="15.6" x14ac:dyDescent="0.3">
      <c r="A8" s="16">
        <v>23</v>
      </c>
      <c r="B8" s="17">
        <v>2</v>
      </c>
      <c r="C8" s="17" t="s">
        <v>53</v>
      </c>
      <c r="D8" s="17" t="s">
        <v>23</v>
      </c>
      <c r="E8" s="18"/>
      <c r="F8" s="17" t="s">
        <v>63</v>
      </c>
      <c r="G8" s="27" t="s">
        <v>24</v>
      </c>
      <c r="H8" s="19" t="s">
        <v>25</v>
      </c>
      <c r="I8" s="20"/>
      <c r="J8" s="21"/>
      <c r="K8" s="22">
        <f>Majorette_Solo_MajoretteSolo_Cadet[[#This Row],[Judge 1
Tamara Beljak]]-J8</f>
        <v>0</v>
      </c>
      <c r="L8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Row],[Category]],Majorette_Solo_MajoretteSolo_Cadet[J1 TOTAL],"&gt;"&amp;Majorette_Solo_MajoretteSolo_Cadet[[#This Row],[J1 TOTAL]])+1</f>
        <v>1</v>
      </c>
      <c r="M8" s="20">
        <v>13.9</v>
      </c>
      <c r="N8" s="21">
        <v>1.5</v>
      </c>
      <c r="O8" s="22">
        <f>Majorette_Solo_MajoretteSolo_Cadet[[#This Row],[Judge 2
Tihomir Bendelja]]-Majorette_Solo_MajoretteSolo_Cadet[[#This Row],[J2 (-)]]</f>
        <v>12.4</v>
      </c>
      <c r="P8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Row],[Category]],Majorette_Solo_MajoretteSolo_Cadet[J2 TOTAL],"&gt;"&amp;Majorette_Solo_MajoretteSolo_Cadet[[#This Row],[J2 TOTAL]])+1</f>
        <v>7</v>
      </c>
      <c r="Q8" s="20"/>
      <c r="R8" s="21"/>
      <c r="S8" s="22">
        <f>Majorette_Solo_MajoretteSolo_Cadet[[#This Row],[Judge 3
Tea Softić]]-R8</f>
        <v>0</v>
      </c>
      <c r="T8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Row],[Category]],Majorette_Solo_MajoretteSolo_Cadet[J3 TOTAL],"&gt;"&amp;Majorette_Solo_MajoretteSolo_Cadet[[#This Row],[J3 TOTAL]])+1</f>
        <v>1</v>
      </c>
      <c r="U8" s="20">
        <v>10.8</v>
      </c>
      <c r="V8" s="21">
        <v>1.5</v>
      </c>
      <c r="W8" s="22">
        <f>Majorette_Solo_MajoretteSolo_Cadet[[#This Row],[Judge 4
Bernard Barač]]-V8</f>
        <v>9.3000000000000007</v>
      </c>
      <c r="X8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Row],[Category]],Majorette_Solo_MajoretteSolo_Cadet[J4 TOTAL],"&gt;"&amp;Majorette_Solo_MajoretteSolo_Cadet[[#This Row],[J4 TOTAL]])+1</f>
        <v>7</v>
      </c>
      <c r="Y8" s="20">
        <v>8.6</v>
      </c>
      <c r="Z8" s="21">
        <v>1.5</v>
      </c>
      <c r="AA8" s="22">
        <f>Majorette_Solo_MajoretteSolo_Cadet[[#This Row],[Judge 5
Barbara Novina]]-Z8</f>
        <v>7.1</v>
      </c>
      <c r="AB8" s="23">
        <f>COUNTIFS(Majorette_Solo_MajoretteSolo_Cadet[Age
Division],Majorette_Solo_MajoretteSolo_Cadet[[#This Row],[Age
Division]],Majorette_Solo_MajoretteSolo_Cadet[Category],Majorette_Solo_MajoretteSolo_Cadet[[#This Row],[Category]],Majorette_Solo_MajoretteSolo_Cadet[J5 TOTAL],"&gt;"&amp;Majorette_Solo_MajoretteSolo_Cadet[[#This Row],[J5 TOTAL]])+1</f>
        <v>7</v>
      </c>
      <c r="AC8" s="24">
        <f>SUM(Majorette_Solo_MajoretteSolo_Cadet[[#This Row],[J1 TOTAL]]+Majorette_Solo_MajoretteSolo_Cadet[[#This Row],[J2 TOTAL]]+Majorette_Solo_MajoretteSolo_Cadet[[#This Row],[J3 TOTAL]]+Majorette_Solo_MajoretteSolo_Cadet[[#This Row],[J4 TOTAL]])+Majorette_Solo_MajoretteSolo_Cadet[[#This Row],[J5 TOTAL]]</f>
        <v>28.800000000000004</v>
      </c>
      <c r="AD8" s="24"/>
      <c r="AE8" s="24"/>
      <c r="AF8" s="24">
        <f>SUM(Majorette_Solo_MajoretteSolo_Cadet[[#This Row],[Total]]-Majorette_Solo_MajoretteSolo_Cadet[[#This Row],[Low]]-Majorette_Solo_MajoretteSolo_Cadet[[#This Row],[High]])</f>
        <v>28.800000000000004</v>
      </c>
      <c r="AG8" s="24">
        <f t="shared" si="0"/>
        <v>11.100000000000001</v>
      </c>
      <c r="AH8" s="25">
        <f>Majorette_Solo_MajoretteSolo_Cadet[[#This Row],[Final Total]]</f>
        <v>28.800000000000004</v>
      </c>
      <c r="AI8" s="26">
        <f>COUNTIFS(Majorette_Solo_MajoretteSolo_Cadet[Age
Division],Majorette_Solo_MajoretteSolo_Cadet[[#This Row],[Age
Division]],Majorette_Solo_MajoretteSolo_Cadet[Category],Majorette_Solo_MajoretteSolo_Cadet[[#This Row],[Category]],Majorette_Solo_MajoretteSolo_Cadet[FINAL SCORE],"&gt;"&amp;Majorette_Solo_MajoretteSolo_Cadet[[#This Row],[FINAL SCORE]])+1</f>
        <v>7</v>
      </c>
      <c r="AJ8" s="16" t="s">
        <v>33</v>
      </c>
    </row>
  </sheetData>
  <sheetProtection algorithmName="SHA-512" hashValue="InHDdldX+aMbq9Ke76LyHV6nCrwvSj/YvseZrev1JdLzA9qiT7WL0g1ux6N0TGr/DJc0gpq02CtRnUXuLQIxaw==" saltValue="E4H1q/mAVWM56qz1zEHxwA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2BD9D-3645-4B01-8809-4B6C43520D51}">
  <dimension ref="A1:BC2"/>
  <sheetViews>
    <sheetView zoomScale="80" zoomScaleNormal="80" workbookViewId="0">
      <pane xSplit="8" topLeftCell="I1" activePane="topRight" state="frozen"/>
      <selection activeCell="G18" sqref="G18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6.44140625" style="29" customWidth="1"/>
    <col min="4" max="4" width="6.88671875" style="30" customWidth="1"/>
    <col min="5" max="5" width="16.33203125" style="30" hidden="1" customWidth="1"/>
    <col min="6" max="6" width="20.33203125" style="19" customWidth="1"/>
    <col min="7" max="7" width="25.88671875" style="19" customWidth="1"/>
    <col min="8" max="8" width="7.88671875" style="19" customWidth="1"/>
    <col min="9" max="16" width="9.109375" style="19" hidden="1" customWidth="1"/>
    <col min="17" max="28" width="9.109375" style="19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72</v>
      </c>
      <c r="B2" s="17">
        <v>2</v>
      </c>
      <c r="C2" s="17" t="s">
        <v>115</v>
      </c>
      <c r="D2" s="17" t="s">
        <v>23</v>
      </c>
      <c r="E2" s="17"/>
      <c r="F2" s="17" t="s">
        <v>116</v>
      </c>
      <c r="G2" s="17" t="s">
        <v>67</v>
      </c>
      <c r="H2" s="19" t="s">
        <v>25</v>
      </c>
      <c r="I2" s="20"/>
      <c r="J2" s="21"/>
      <c r="K2" s="22">
        <f>Majorette_Duo_PomponDuoTrio_Cadet[[#This Row],[Judge 1
Tamara Beljak]]-J2</f>
        <v>0</v>
      </c>
      <c r="L2" s="23">
        <f>COUNTIFS(Majorette_Duo_PomponDuoTrio_Cadet[Age
Division],Majorette_Duo_PomponDuoTrio_Cadet[[#This Row],[Age
Division]],Majorette_Duo_PomponDuoTrio_Cadet[Category],Majorette_Duo_PomponDuoTrio_Cadet[[#This Row],[Category]],Majorette_Duo_PomponDuoTrio_Cadet[J1 TOTAL],"&gt;"&amp;Majorette_Duo_PomponDuoTrio_Cadet[[#This Row],[J1 TOTAL]])+1</f>
        <v>1</v>
      </c>
      <c r="M2" s="20"/>
      <c r="N2" s="21"/>
      <c r="O2" s="22">
        <f>Majorette_Duo_PomponDuoTrio_Cadet[[#This Row],[Judge 2
Tihomir Bendelja]]-Majorette_Duo_PomponDuoTrio_Cadet[[#This Row],[J2 (-)]]</f>
        <v>0</v>
      </c>
      <c r="P2" s="23">
        <f>COUNTIFS(Majorette_Duo_PomponDuoTrio_Cadet[Age
Division],Majorette_Duo_PomponDuoTrio_Cadet[[#This Row],[Age
Division]],Majorette_Duo_PomponDuoTrio_Cadet[Category],Majorette_Duo_PomponDuoTrio_Cadet[[#This Row],[Category]],Majorette_Duo_PomponDuoTrio_Cadet[J2 TOTAL],"&gt;"&amp;Majorette_Duo_PomponDuoTrio_Cadet[[#This Row],[J2 TOTAL]])+1</f>
        <v>1</v>
      </c>
      <c r="Q2" s="20">
        <v>23.1</v>
      </c>
      <c r="R2" s="21">
        <v>0</v>
      </c>
      <c r="S2" s="22">
        <f>Majorette_Duo_PomponDuoTrio_Cadet[[#This Row],[Judge 3
Tea Softić]]-R2</f>
        <v>23.1</v>
      </c>
      <c r="T2" s="23">
        <f>COUNTIFS(Majorette_Duo_PomponDuoTrio_Cadet[Age
Division],Majorette_Duo_PomponDuoTrio_Cadet[[#This Row],[Age
Division]],Majorette_Duo_PomponDuoTrio_Cadet[Category],Majorette_Duo_PomponDuoTrio_Cadet[[#This Row],[Category]],Majorette_Duo_PomponDuoTrio_Cadet[J3 TOTAL],"&gt;"&amp;Majorette_Duo_PomponDuoTrio_Cadet[[#This Row],[J3 TOTAL]])+1</f>
        <v>1</v>
      </c>
      <c r="U2" s="20">
        <v>22.4</v>
      </c>
      <c r="V2" s="21">
        <v>0</v>
      </c>
      <c r="W2" s="22">
        <f>Majorette_Duo_PomponDuoTrio_Cadet[[#This Row],[Judge 4
Bernard Barač]]-V2</f>
        <v>22.4</v>
      </c>
      <c r="X2" s="23">
        <f>COUNTIFS(Majorette_Duo_PomponDuoTrio_Cadet[Age
Division],Majorette_Duo_PomponDuoTrio_Cadet[[#This Row],[Age
Division]],Majorette_Duo_PomponDuoTrio_Cadet[Category],Majorette_Duo_PomponDuoTrio_Cadet[[#This Row],[Category]],Majorette_Duo_PomponDuoTrio_Cadet[J4 TOTAL],"&gt;"&amp;Majorette_Duo_PomponDuoTrio_Cadet[[#This Row],[J4 TOTAL]])+1</f>
        <v>1</v>
      </c>
      <c r="Y2" s="20">
        <v>16.100000000000001</v>
      </c>
      <c r="Z2" s="21">
        <v>0</v>
      </c>
      <c r="AA2" s="22">
        <f>Majorette_Duo_PomponDuoTrio_Cadet[[#This Row],[Judge 5
Barbara Novina]]-Z2</f>
        <v>16.100000000000001</v>
      </c>
      <c r="AB2" s="23">
        <f>COUNTIFS(Majorette_Duo_PomponDuoTrio_Cadet[Age
Division],Majorette_Duo_PomponDuoTrio_Cadet[[#This Row],[Age
Division]],Majorette_Duo_PomponDuoTrio_Cadet[Category],Majorette_Duo_PomponDuoTrio_Cadet[[#This Row],[Category]],Majorette_Duo_PomponDuoTrio_Cadet[J5 TOTAL],"&gt;"&amp;Majorette_Duo_PomponDuoTrio_Cadet[[#This Row],[J5 TOTAL]])+1</f>
        <v>1</v>
      </c>
      <c r="AC2" s="24">
        <f>SUM(Majorette_Duo_PomponDuoTrio_Cadet[[#This Row],[J1 TOTAL]]+Majorette_Duo_PomponDuoTrio_Cadet[[#This Row],[J2 TOTAL]]+Majorette_Duo_PomponDuoTrio_Cadet[[#This Row],[J3 TOTAL]]+Majorette_Duo_PomponDuoTrio_Cadet[[#This Row],[J4 TOTAL]])+Majorette_Duo_PomponDuoTrio_Cadet[[#This Row],[J5 TOTAL]]</f>
        <v>61.6</v>
      </c>
      <c r="AD2" s="24"/>
      <c r="AE2" s="24"/>
      <c r="AF2" s="24">
        <f>SUM(Majorette_Duo_PomponDuoTrio_Cadet[[#This Row],[Total]]-Majorette_Duo_PomponDuoTrio_Cadet[[#This Row],[Low]]-Majorette_Duo_PomponDuoTrio_Cadet[[#This Row],[High]])</f>
        <v>61.6</v>
      </c>
      <c r="AG2" s="24">
        <f>AVERAGE(I2,M2,Q2,U2,Y2)</f>
        <v>20.533333333333335</v>
      </c>
      <c r="AH2" s="25">
        <f>Majorette_Duo_PomponDuoTrio_Cadet[[#This Row],[Final Total]]</f>
        <v>61.6</v>
      </c>
      <c r="AI2" s="28">
        <f>COUNTIFS(Majorette_Duo_PomponDuoTrio_Cadet[Age
Division],Majorette_Duo_PomponDuoTrio_Cadet[[#This Row],[Age
Division]],Majorette_Duo_PomponDuoTrio_Cadet[Category],Majorette_Duo_PomponDuoTrio_Cadet[[#This Row],[Category]],Majorette_Duo_PomponDuoTrio_Cadet[FINAL SCORE],"&gt;"&amp;Majorette_Duo_PomponDuoTrio_Cadet[[#This Row],[FINAL SCORE]])+1</f>
        <v>1</v>
      </c>
      <c r="AJ2" s="16" t="s">
        <v>118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2/HOaIvpiUAVQEU5vhBndYiJOPTZUnnGI+FyuD/BS5/LZ2IevrOj+ein+SWOW/F+WhLwpzhdiwN20yUuBtfYNw==" saltValue="au3uf5yaCmFN9aIMRlIoTw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1E72D-2989-4EB0-9AAA-A8ACDCD3BD9A}">
  <dimension ref="A1:BC4"/>
  <sheetViews>
    <sheetView zoomScale="80" zoomScaleNormal="80" workbookViewId="0">
      <pane xSplit="8" topLeftCell="I1" activePane="topRight" state="frozen"/>
      <selection activeCell="G18" sqref="G18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4.88671875" style="29" customWidth="1"/>
    <col min="4" max="4" width="8" style="30" customWidth="1"/>
    <col min="5" max="5" width="16.33203125" style="30" hidden="1" customWidth="1"/>
    <col min="6" max="6" width="38.21875" style="19" customWidth="1"/>
    <col min="7" max="7" width="38.6640625" style="19" customWidth="1"/>
    <col min="8" max="8" width="8.33203125" style="19" customWidth="1"/>
    <col min="9" max="16" width="9.109375" style="19" hidden="1" customWidth="1"/>
    <col min="17" max="28" width="9.109375" style="19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76</v>
      </c>
      <c r="B2" s="17">
        <v>2</v>
      </c>
      <c r="C2" s="17" t="s">
        <v>115</v>
      </c>
      <c r="D2" s="17" t="s">
        <v>27</v>
      </c>
      <c r="E2" s="18"/>
      <c r="F2" s="17" t="s">
        <v>120</v>
      </c>
      <c r="G2" s="17" t="s">
        <v>110</v>
      </c>
      <c r="H2" s="19" t="s">
        <v>28</v>
      </c>
      <c r="I2" s="20"/>
      <c r="J2" s="21"/>
      <c r="K2" s="22">
        <f>Majorette_Duo_PomponDuoTrio_Junior[[#This Row],[Judge 1
Tamara Beljak]]-J2</f>
        <v>0</v>
      </c>
      <c r="L2" s="23">
        <f>COUNTIFS(Majorette_Duo_PomponDuoTrio_Junior[Age
Division],Majorette_Duo_PomponDuoTrio_Junior[[#This Row],[Age
Division]],Majorette_Duo_PomponDuoTrio_Junior[Category],Majorette_Duo_PomponDuoTrio_Junior[[#This Row],[Category]],Majorette_Duo_PomponDuoTrio_Junior[J1 TOTAL],"&gt;"&amp;Majorette_Duo_PomponDuoTrio_Junior[[#This Row],[J1 TOTAL]])+1</f>
        <v>1</v>
      </c>
      <c r="M2" s="20"/>
      <c r="N2" s="21"/>
      <c r="O2" s="22">
        <f>Majorette_Duo_PomponDuoTrio_Junior[[#This Row],[Judge 2
Tihomir Bendelja]]-Majorette_Duo_PomponDuoTrio_Junior[[#This Row],[J2 (-)]]</f>
        <v>0</v>
      </c>
      <c r="P2" s="23">
        <f>COUNTIFS(Majorette_Duo_PomponDuoTrio_Junior[Age
Division],Majorette_Duo_PomponDuoTrio_Junior[[#This Row],[Age
Division]],Majorette_Duo_PomponDuoTrio_Junior[Category],Majorette_Duo_PomponDuoTrio_Junior[[#This Row],[Category]],Majorette_Duo_PomponDuoTrio_Junior[J2 TOTAL],"&gt;"&amp;Majorette_Duo_PomponDuoTrio_Junior[[#This Row],[J2 TOTAL]])+1</f>
        <v>1</v>
      </c>
      <c r="Q2" s="20">
        <v>34.700000000000003</v>
      </c>
      <c r="R2" s="21">
        <v>1</v>
      </c>
      <c r="S2" s="22">
        <f>Majorette_Duo_PomponDuoTrio_Junior[[#This Row],[Judge 3
Tea Softić]]-R2</f>
        <v>33.700000000000003</v>
      </c>
      <c r="T2" s="23">
        <f>COUNTIFS(Majorette_Duo_PomponDuoTrio_Junior[Age
Division],Majorette_Duo_PomponDuoTrio_Junior[[#This Row],[Age
Division]],Majorette_Duo_PomponDuoTrio_Junior[Category],Majorette_Duo_PomponDuoTrio_Junior[[#This Row],[Category]],Majorette_Duo_PomponDuoTrio_Junior[J3 TOTAL],"&gt;"&amp;Majorette_Duo_PomponDuoTrio_Junior[[#This Row],[J3 TOTAL]])+1</f>
        <v>1</v>
      </c>
      <c r="U2" s="20">
        <v>35</v>
      </c>
      <c r="V2" s="21">
        <v>1</v>
      </c>
      <c r="W2" s="22">
        <f>Majorette_Duo_PomponDuoTrio_Junior[[#This Row],[Judge 4
Bernard Barač]]-V2</f>
        <v>34</v>
      </c>
      <c r="X2" s="23">
        <f>COUNTIFS(Majorette_Duo_PomponDuoTrio_Junior[Age
Division],Majorette_Duo_PomponDuoTrio_Junior[[#This Row],[Age
Division]],Majorette_Duo_PomponDuoTrio_Junior[Category],Majorette_Duo_PomponDuoTrio_Junior[[#This Row],[Category]],Majorette_Duo_PomponDuoTrio_Junior[J4 TOTAL],"&gt;"&amp;Majorette_Duo_PomponDuoTrio_Junior[[#This Row],[J4 TOTAL]])+1</f>
        <v>1</v>
      </c>
      <c r="Y2" s="20">
        <v>24.7</v>
      </c>
      <c r="Z2" s="21">
        <v>1</v>
      </c>
      <c r="AA2" s="22">
        <f>Majorette_Duo_PomponDuoTrio_Junior[[#This Row],[Judge 5
Barbara Novina]]-Z2</f>
        <v>23.7</v>
      </c>
      <c r="AB2" s="23">
        <f>COUNTIFS(Majorette_Duo_PomponDuoTrio_Junior[Age
Division],Majorette_Duo_PomponDuoTrio_Junior[[#This Row],[Age
Division]],Majorette_Duo_PomponDuoTrio_Junior[Category],Majorette_Duo_PomponDuoTrio_Junior[[#This Row],[Category]],Majorette_Duo_PomponDuoTrio_Junior[J5 TOTAL],"&gt;"&amp;Majorette_Duo_PomponDuoTrio_Junior[[#This Row],[J5 TOTAL]])+1</f>
        <v>2</v>
      </c>
      <c r="AC2" s="24">
        <f>SUM(Majorette_Duo_PomponDuoTrio_Junior[[#This Row],[J1 TOTAL]]+Majorette_Duo_PomponDuoTrio_Junior[[#This Row],[J2 TOTAL]]+Majorette_Duo_PomponDuoTrio_Junior[[#This Row],[J3 TOTAL]]+Majorette_Duo_PomponDuoTrio_Junior[[#This Row],[J4 TOTAL]])+Majorette_Duo_PomponDuoTrio_Junior[[#This Row],[J5 TOTAL]]</f>
        <v>91.4</v>
      </c>
      <c r="AD2" s="24"/>
      <c r="AE2" s="24"/>
      <c r="AF2" s="24">
        <f>SUM(Majorette_Duo_PomponDuoTrio_Junior[[#This Row],[Total]]-Majorette_Duo_PomponDuoTrio_Junior[[#This Row],[Low]]-Majorette_Duo_PomponDuoTrio_Junior[[#This Row],[High]])</f>
        <v>91.4</v>
      </c>
      <c r="AG2" s="24">
        <f>AVERAGE(I2,M2,Q2,U2,Y2)</f>
        <v>31.466666666666669</v>
      </c>
      <c r="AH2" s="25">
        <f>Majorette_Duo_PomponDuoTrio_Junior[[#This Row],[Final Total]]</f>
        <v>91.4</v>
      </c>
      <c r="AI2" s="26">
        <f>COUNTIFS(Majorette_Duo_PomponDuoTrio_Junior[Age
Division],Majorette_Duo_PomponDuoTrio_Junior[[#This Row],[Age
Division]],Majorette_Duo_PomponDuoTrio_Junior[Category],Majorette_Duo_PomponDuoTrio_Junior[[#This Row],[Category]],Majorette_Duo_PomponDuoTrio_Junior[FINAL SCORE],"&gt;"&amp;Majorette_Duo_PomponDuoTrio_Junior[[#This Row],[FINAL SCORE]])+1</f>
        <v>1</v>
      </c>
      <c r="AJ2" s="16" t="s">
        <v>118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74</v>
      </c>
      <c r="B3" s="17">
        <v>2</v>
      </c>
      <c r="C3" s="17" t="s">
        <v>115</v>
      </c>
      <c r="D3" s="17" t="s">
        <v>27</v>
      </c>
      <c r="E3" s="17"/>
      <c r="F3" s="17" t="s">
        <v>119</v>
      </c>
      <c r="G3" s="17" t="s">
        <v>60</v>
      </c>
      <c r="H3" s="19" t="s">
        <v>25</v>
      </c>
      <c r="I3" s="20"/>
      <c r="J3" s="21"/>
      <c r="K3" s="22">
        <f>Majorette_Duo_PomponDuoTrio_Junior[[#This Row],[Judge 1
Tamara Beljak]]-J3</f>
        <v>0</v>
      </c>
      <c r="L3" s="23">
        <f>COUNTIFS(Majorette_Duo_PomponDuoTrio_Junior[Age
Division],Majorette_Duo_PomponDuoTrio_Junior[[#This Row],[Age
Division]],Majorette_Duo_PomponDuoTrio_Junior[Category],Majorette_Duo_PomponDuoTrio_Junior[[#This Row],[Category]],Majorette_Duo_PomponDuoTrio_Junior[J1 TOTAL],"&gt;"&amp;Majorette_Duo_PomponDuoTrio_Junior[[#This Row],[J1 TOTAL]])+1</f>
        <v>1</v>
      </c>
      <c r="M3" s="20"/>
      <c r="N3" s="21"/>
      <c r="O3" s="22">
        <f>Majorette_Duo_PomponDuoTrio_Junior[[#This Row],[Judge 2
Tihomir Bendelja]]-Majorette_Duo_PomponDuoTrio_Junior[[#This Row],[J2 (-)]]</f>
        <v>0</v>
      </c>
      <c r="P3" s="23">
        <f>COUNTIFS(Majorette_Duo_PomponDuoTrio_Junior[Age
Division],Majorette_Duo_PomponDuoTrio_Junior[[#This Row],[Age
Division]],Majorette_Duo_PomponDuoTrio_Junior[Category],Majorette_Duo_PomponDuoTrio_Junior[[#This Row],[Category]],Majorette_Duo_PomponDuoTrio_Junior[J2 TOTAL],"&gt;"&amp;Majorette_Duo_PomponDuoTrio_Junior[[#This Row],[J2 TOTAL]])+1</f>
        <v>1</v>
      </c>
      <c r="Q3" s="20">
        <v>29.7</v>
      </c>
      <c r="R3" s="21">
        <v>0</v>
      </c>
      <c r="S3" s="22">
        <f>Majorette_Duo_PomponDuoTrio_Junior[[#This Row],[Judge 3
Tea Softić]]-R3</f>
        <v>29.7</v>
      </c>
      <c r="T3" s="23">
        <f>COUNTIFS(Majorette_Duo_PomponDuoTrio_Junior[Age
Division],Majorette_Duo_PomponDuoTrio_Junior[[#This Row],[Age
Division]],Majorette_Duo_PomponDuoTrio_Junior[Category],Majorette_Duo_PomponDuoTrio_Junior[[#This Row],[Category]],Majorette_Duo_PomponDuoTrio_Junior[J3 TOTAL],"&gt;"&amp;Majorette_Duo_PomponDuoTrio_Junior[[#This Row],[J3 TOTAL]])+1</f>
        <v>2</v>
      </c>
      <c r="U3" s="20">
        <v>32.5</v>
      </c>
      <c r="V3" s="21">
        <v>0</v>
      </c>
      <c r="W3" s="22">
        <f>Majorette_Duo_PomponDuoTrio_Junior[[#This Row],[Judge 4
Bernard Barač]]-V3</f>
        <v>32.5</v>
      </c>
      <c r="X3" s="23">
        <f>COUNTIFS(Majorette_Duo_PomponDuoTrio_Junior[Age
Division],Majorette_Duo_PomponDuoTrio_Junior[[#This Row],[Age
Division]],Majorette_Duo_PomponDuoTrio_Junior[Category],Majorette_Duo_PomponDuoTrio_Junior[[#This Row],[Category]],Majorette_Duo_PomponDuoTrio_Junior[J4 TOTAL],"&gt;"&amp;Majorette_Duo_PomponDuoTrio_Junior[[#This Row],[J4 TOTAL]])+1</f>
        <v>2</v>
      </c>
      <c r="Y3" s="20">
        <v>25.6</v>
      </c>
      <c r="Z3" s="21">
        <v>0</v>
      </c>
      <c r="AA3" s="22">
        <f>Majorette_Duo_PomponDuoTrio_Junior[[#This Row],[Judge 5
Barbara Novina]]-Z3</f>
        <v>25.6</v>
      </c>
      <c r="AB3" s="23">
        <f>COUNTIFS(Majorette_Duo_PomponDuoTrio_Junior[Age
Division],Majorette_Duo_PomponDuoTrio_Junior[[#This Row],[Age
Division]],Majorette_Duo_PomponDuoTrio_Junior[Category],Majorette_Duo_PomponDuoTrio_Junior[[#This Row],[Category]],Majorette_Duo_PomponDuoTrio_Junior[J5 TOTAL],"&gt;"&amp;Majorette_Duo_PomponDuoTrio_Junior[[#This Row],[J5 TOTAL]])+1</f>
        <v>1</v>
      </c>
      <c r="AC3" s="24">
        <f>SUM(Majorette_Duo_PomponDuoTrio_Junior[[#This Row],[J1 TOTAL]]+Majorette_Duo_PomponDuoTrio_Junior[[#This Row],[J2 TOTAL]]+Majorette_Duo_PomponDuoTrio_Junior[[#This Row],[J3 TOTAL]]+Majorette_Duo_PomponDuoTrio_Junior[[#This Row],[J4 TOTAL]])+Majorette_Duo_PomponDuoTrio_Junior[[#This Row],[J5 TOTAL]]</f>
        <v>87.800000000000011</v>
      </c>
      <c r="AD3" s="24"/>
      <c r="AE3" s="24"/>
      <c r="AF3" s="24">
        <f>SUM(Majorette_Duo_PomponDuoTrio_Junior[[#This Row],[Total]]-Majorette_Duo_PomponDuoTrio_Junior[[#This Row],[Low]]-Majorette_Duo_PomponDuoTrio_Junior[[#This Row],[High]])</f>
        <v>87.800000000000011</v>
      </c>
      <c r="AG3" s="24">
        <f>AVERAGE(I3,M3,Q3,U3,Y3)</f>
        <v>29.266666666666669</v>
      </c>
      <c r="AH3" s="25">
        <f>Majorette_Duo_PomponDuoTrio_Junior[[#This Row],[Final Total]]</f>
        <v>87.800000000000011</v>
      </c>
      <c r="AI3" s="28">
        <f>COUNTIFS(Majorette_Duo_PomponDuoTrio_Junior[Age
Division],Majorette_Duo_PomponDuoTrio_Junior[[#This Row],[Age
Division]],Majorette_Duo_PomponDuoTrio_Junior[Category],Majorette_Duo_PomponDuoTrio_Junior[[#This Row],[Category]],Majorette_Duo_PomponDuoTrio_Junior[FINAL SCORE],"&gt;"&amp;Majorette_Duo_PomponDuoTrio_Junior[[#This Row],[FINAL SCORE]])+1</f>
        <v>2</v>
      </c>
      <c r="AJ3" s="16" t="s">
        <v>118</v>
      </c>
    </row>
    <row r="4" spans="1:55" ht="15.6" x14ac:dyDescent="0.3">
      <c r="A4" s="16">
        <v>78</v>
      </c>
      <c r="B4" s="17">
        <v>2</v>
      </c>
      <c r="C4" s="17" t="s">
        <v>115</v>
      </c>
      <c r="D4" s="17" t="s">
        <v>27</v>
      </c>
      <c r="E4" s="18"/>
      <c r="F4" s="17" t="s">
        <v>121</v>
      </c>
      <c r="G4" s="17" t="s">
        <v>73</v>
      </c>
      <c r="H4" s="19" t="s">
        <v>25</v>
      </c>
      <c r="I4" s="20"/>
      <c r="J4" s="21"/>
      <c r="K4" s="22">
        <f>Majorette_Duo_PomponDuoTrio_Junior[[#This Row],[Judge 1
Tamara Beljak]]-J4</f>
        <v>0</v>
      </c>
      <c r="L4" s="23">
        <f>COUNTIFS(Majorette_Duo_PomponDuoTrio_Junior[Age
Division],Majorette_Duo_PomponDuoTrio_Junior[[#This Row],[Age
Division]],Majorette_Duo_PomponDuoTrio_Junior[Category],Majorette_Duo_PomponDuoTrio_Junior[[#This Row],[Category]],Majorette_Duo_PomponDuoTrio_Junior[J1 TOTAL],"&gt;"&amp;Majorette_Duo_PomponDuoTrio_Junior[[#This Row],[J1 TOTAL]])+1</f>
        <v>1</v>
      </c>
      <c r="M4" s="20"/>
      <c r="N4" s="21"/>
      <c r="O4" s="22">
        <f>Majorette_Duo_PomponDuoTrio_Junior[[#This Row],[Judge 2
Tihomir Bendelja]]-Majorette_Duo_PomponDuoTrio_Junior[[#This Row],[J2 (-)]]</f>
        <v>0</v>
      </c>
      <c r="P4" s="23">
        <f>COUNTIFS(Majorette_Duo_PomponDuoTrio_Junior[Age
Division],Majorette_Duo_PomponDuoTrio_Junior[[#This Row],[Age
Division]],Majorette_Duo_PomponDuoTrio_Junior[Category],Majorette_Duo_PomponDuoTrio_Junior[[#This Row],[Category]],Majorette_Duo_PomponDuoTrio_Junior[J2 TOTAL],"&gt;"&amp;Majorette_Duo_PomponDuoTrio_Junior[[#This Row],[J2 TOTAL]])+1</f>
        <v>1</v>
      </c>
      <c r="Q4" s="20">
        <v>24.5</v>
      </c>
      <c r="R4" s="21">
        <v>0</v>
      </c>
      <c r="S4" s="22">
        <f>Majorette_Duo_PomponDuoTrio_Junior[[#This Row],[Judge 3
Tea Softić]]-R4</f>
        <v>24.5</v>
      </c>
      <c r="T4" s="23">
        <f>COUNTIFS(Majorette_Duo_PomponDuoTrio_Junior[Age
Division],Majorette_Duo_PomponDuoTrio_Junior[[#This Row],[Age
Division]],Majorette_Duo_PomponDuoTrio_Junior[Category],Majorette_Duo_PomponDuoTrio_Junior[[#This Row],[Category]],Majorette_Duo_PomponDuoTrio_Junior[J3 TOTAL],"&gt;"&amp;Majorette_Duo_PomponDuoTrio_Junior[[#This Row],[J3 TOTAL]])+1</f>
        <v>3</v>
      </c>
      <c r="U4" s="20">
        <v>26.4</v>
      </c>
      <c r="V4" s="21">
        <v>0</v>
      </c>
      <c r="W4" s="22">
        <f>Majorette_Duo_PomponDuoTrio_Junior[[#This Row],[Judge 4
Bernard Barač]]-V4</f>
        <v>26.4</v>
      </c>
      <c r="X4" s="23">
        <f>COUNTIFS(Majorette_Duo_PomponDuoTrio_Junior[Age
Division],Majorette_Duo_PomponDuoTrio_Junior[[#This Row],[Age
Division]],Majorette_Duo_PomponDuoTrio_Junior[Category],Majorette_Duo_PomponDuoTrio_Junior[[#This Row],[Category]],Majorette_Duo_PomponDuoTrio_Junior[J4 TOTAL],"&gt;"&amp;Majorette_Duo_PomponDuoTrio_Junior[[#This Row],[J4 TOTAL]])+1</f>
        <v>3</v>
      </c>
      <c r="Y4" s="20">
        <v>15.5</v>
      </c>
      <c r="Z4" s="21">
        <v>0</v>
      </c>
      <c r="AA4" s="22">
        <f>Majorette_Duo_PomponDuoTrio_Junior[[#This Row],[Judge 5
Barbara Novina]]-Z4</f>
        <v>15.5</v>
      </c>
      <c r="AB4" s="23">
        <f>COUNTIFS(Majorette_Duo_PomponDuoTrio_Junior[Age
Division],Majorette_Duo_PomponDuoTrio_Junior[[#This Row],[Age
Division]],Majorette_Duo_PomponDuoTrio_Junior[Category],Majorette_Duo_PomponDuoTrio_Junior[[#This Row],[Category]],Majorette_Duo_PomponDuoTrio_Junior[J5 TOTAL],"&gt;"&amp;Majorette_Duo_PomponDuoTrio_Junior[[#This Row],[J5 TOTAL]])+1</f>
        <v>3</v>
      </c>
      <c r="AC4" s="24">
        <f>SUM(Majorette_Duo_PomponDuoTrio_Junior[[#This Row],[J1 TOTAL]]+Majorette_Duo_PomponDuoTrio_Junior[[#This Row],[J2 TOTAL]]+Majorette_Duo_PomponDuoTrio_Junior[[#This Row],[J3 TOTAL]]+Majorette_Duo_PomponDuoTrio_Junior[[#This Row],[J4 TOTAL]])+Majorette_Duo_PomponDuoTrio_Junior[[#This Row],[J5 TOTAL]]</f>
        <v>66.400000000000006</v>
      </c>
      <c r="AD4" s="24"/>
      <c r="AE4" s="24"/>
      <c r="AF4" s="24">
        <f>SUM(Majorette_Duo_PomponDuoTrio_Junior[[#This Row],[Total]]-Majorette_Duo_PomponDuoTrio_Junior[[#This Row],[Low]]-Majorette_Duo_PomponDuoTrio_Junior[[#This Row],[High]])</f>
        <v>66.400000000000006</v>
      </c>
      <c r="AG4" s="24">
        <f>AVERAGE(I4,M4,Q4,U4,Y4)</f>
        <v>22.133333333333336</v>
      </c>
      <c r="AH4" s="25">
        <f>Majorette_Duo_PomponDuoTrio_Junior[[#This Row],[Final Total]]</f>
        <v>66.400000000000006</v>
      </c>
      <c r="AI4" s="26">
        <f>COUNTIFS(Majorette_Duo_PomponDuoTrio_Junior[Age
Division],Majorette_Duo_PomponDuoTrio_Junior[[#This Row],[Age
Division]],Majorette_Duo_PomponDuoTrio_Junior[Category],Majorette_Duo_PomponDuoTrio_Junior[[#This Row],[Category]],Majorette_Duo_PomponDuoTrio_Junior[FINAL SCORE],"&gt;"&amp;Majorette_Duo_PomponDuoTrio_Junior[[#This Row],[FINAL SCORE]])+1</f>
        <v>3</v>
      </c>
      <c r="AJ4" s="16" t="s">
        <v>118</v>
      </c>
    </row>
  </sheetData>
  <sheetProtection algorithmName="SHA-512" hashValue="Vxmak82hLczGVR3QaCCtj4T1MLwFxf/pp2jHW2VeS9hHakqx29JXp+fZ7JupQ46AgPehYCa1tgZiISceSxWq9g==" saltValue="ktUZyTnWBvow527am+Mt3g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4EE71-E229-41BF-95D6-7E1EC4C34A36}">
  <dimension ref="A1:BC4"/>
  <sheetViews>
    <sheetView zoomScale="80" zoomScaleNormal="80" workbookViewId="0">
      <pane xSplit="8" topLeftCell="I1" activePane="topRight" state="frozen"/>
      <selection activeCell="G18" sqref="G18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4.88671875" style="29" customWidth="1"/>
    <col min="4" max="4" width="7.6640625" style="30" customWidth="1"/>
    <col min="5" max="5" width="16.33203125" style="30" hidden="1" customWidth="1"/>
    <col min="6" max="6" width="33.6640625" style="19" customWidth="1"/>
    <col min="7" max="7" width="38" style="19" customWidth="1"/>
    <col min="8" max="8" width="7.77734375" style="19" customWidth="1"/>
    <col min="9" max="16" width="9.109375" style="19" hidden="1" customWidth="1"/>
    <col min="17" max="28" width="9.109375" style="19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84</v>
      </c>
      <c r="B2" s="17">
        <v>2</v>
      </c>
      <c r="C2" s="17" t="s">
        <v>115</v>
      </c>
      <c r="D2" s="17" t="s">
        <v>29</v>
      </c>
      <c r="E2" s="18"/>
      <c r="F2" s="17" t="s">
        <v>124</v>
      </c>
      <c r="G2" s="17" t="s">
        <v>67</v>
      </c>
      <c r="H2" s="19" t="s">
        <v>25</v>
      </c>
      <c r="I2" s="20"/>
      <c r="J2" s="21"/>
      <c r="K2" s="22">
        <f>Majorette_Duo_PomponDuoTrio_Senior[[#This Row],[Judge 1
Tamara Beljak]]-J2</f>
        <v>0</v>
      </c>
      <c r="L2" s="23">
        <f>COUNTIFS(Majorette_Duo_PomponDuoTrio_Senior[Age
Division],Majorette_Duo_PomponDuoTrio_Senior[[#This Row],[Age
Division]],Majorette_Duo_PomponDuoTrio_Senior[Category],Majorette_Duo_PomponDuoTrio_Senior[[#This Row],[Category]],Majorette_Duo_PomponDuoTrio_Senior[J1 TOTAL],"&gt;"&amp;Majorette_Duo_PomponDuoTrio_Senior[[#This Row],[J1 TOTAL]])+1</f>
        <v>1</v>
      </c>
      <c r="M2" s="20"/>
      <c r="N2" s="21"/>
      <c r="O2" s="22">
        <f>Majorette_Duo_PomponDuoTrio_Senior[[#This Row],[Judge 2
Tihomir Bendelja]]-Majorette_Duo_PomponDuoTrio_Senior[[#This Row],[J2 (-)]]</f>
        <v>0</v>
      </c>
      <c r="P2" s="23">
        <f>COUNTIFS(Majorette_Duo_PomponDuoTrio_Senior[Age
Division],Majorette_Duo_PomponDuoTrio_Senior[[#This Row],[Age
Division]],Majorette_Duo_PomponDuoTrio_Senior[Category],Majorette_Duo_PomponDuoTrio_Senior[[#This Row],[Category]],Majorette_Duo_PomponDuoTrio_Senior[J2 TOTAL],"&gt;"&amp;Majorette_Duo_PomponDuoTrio_Senior[[#This Row],[J2 TOTAL]])+1</f>
        <v>1</v>
      </c>
      <c r="Q2" s="20">
        <v>32.4</v>
      </c>
      <c r="R2" s="21">
        <v>0</v>
      </c>
      <c r="S2" s="22">
        <f>Majorette_Duo_PomponDuoTrio_Senior[[#This Row],[Judge 3
Tea Softić]]-R2</f>
        <v>32.4</v>
      </c>
      <c r="T2" s="23">
        <f>COUNTIFS(Majorette_Duo_PomponDuoTrio_Senior[Age
Division],Majorette_Duo_PomponDuoTrio_Senior[[#This Row],[Age
Division]],Majorette_Duo_PomponDuoTrio_Senior[Category],Majorette_Duo_PomponDuoTrio_Senior[[#This Row],[Category]],Majorette_Duo_PomponDuoTrio_Senior[J3 TOTAL],"&gt;"&amp;Majorette_Duo_PomponDuoTrio_Senior[[#This Row],[J3 TOTAL]])+1</f>
        <v>1</v>
      </c>
      <c r="U2" s="20">
        <v>27</v>
      </c>
      <c r="V2" s="21">
        <v>0</v>
      </c>
      <c r="W2" s="22">
        <f>Majorette_Duo_PomponDuoTrio_Senior[[#This Row],[Judge 4
Bernard Barač]]-V2</f>
        <v>27</v>
      </c>
      <c r="X2" s="23">
        <f>COUNTIFS(Majorette_Duo_PomponDuoTrio_Senior[Age
Division],Majorette_Duo_PomponDuoTrio_Senior[[#This Row],[Age
Division]],Majorette_Duo_PomponDuoTrio_Senior[Category],Majorette_Duo_PomponDuoTrio_Senior[[#This Row],[Category]],Majorette_Duo_PomponDuoTrio_Senior[J4 TOTAL],"&gt;"&amp;Majorette_Duo_PomponDuoTrio_Senior[[#This Row],[J4 TOTAL]])+1</f>
        <v>1</v>
      </c>
      <c r="Y2" s="20">
        <v>24.7</v>
      </c>
      <c r="Z2" s="21">
        <v>0</v>
      </c>
      <c r="AA2" s="22">
        <f>Majorette_Duo_PomponDuoTrio_Senior[[#This Row],[Judge 5
Barbara Novina]]-Z2</f>
        <v>24.7</v>
      </c>
      <c r="AB2" s="23">
        <f>COUNTIFS(Majorette_Duo_PomponDuoTrio_Senior[Age
Division],Majorette_Duo_PomponDuoTrio_Senior[[#This Row],[Age
Division]],Majorette_Duo_PomponDuoTrio_Senior[Category],Majorette_Duo_PomponDuoTrio_Senior[[#This Row],[Category]],Majorette_Duo_PomponDuoTrio_Senior[J5 TOTAL],"&gt;"&amp;Majorette_Duo_PomponDuoTrio_Senior[[#This Row],[J5 TOTAL]])+1</f>
        <v>1</v>
      </c>
      <c r="AC2" s="24">
        <f>SUM(Majorette_Duo_PomponDuoTrio_Senior[[#This Row],[J1 TOTAL]]+Majorette_Duo_PomponDuoTrio_Senior[[#This Row],[J2 TOTAL]]+Majorette_Duo_PomponDuoTrio_Senior[[#This Row],[J3 TOTAL]]+Majorette_Duo_PomponDuoTrio_Senior[[#This Row],[J4 TOTAL]])+Majorette_Duo_PomponDuoTrio_Senior[[#This Row],[J5 TOTAL]]</f>
        <v>84.1</v>
      </c>
      <c r="AD2" s="24"/>
      <c r="AE2" s="24"/>
      <c r="AF2" s="24">
        <f>SUM(Majorette_Duo_PomponDuoTrio_Senior[[#This Row],[Total]]-Majorette_Duo_PomponDuoTrio_Senior[[#This Row],[Low]]-Majorette_Duo_PomponDuoTrio_Senior[[#This Row],[High]])</f>
        <v>84.1</v>
      </c>
      <c r="AG2" s="24">
        <f>AVERAGE(I2,M2,Q2,U2,Y2)</f>
        <v>28.033333333333331</v>
      </c>
      <c r="AH2" s="25">
        <f>Majorette_Duo_PomponDuoTrio_Senior[[#This Row],[Final Total]]</f>
        <v>84.1</v>
      </c>
      <c r="AI2" s="26">
        <f>COUNTIFS(Majorette_Duo_PomponDuoTrio_Senior[Age
Division],Majorette_Duo_PomponDuoTrio_Senior[[#This Row],[Age
Division]],Majorette_Duo_PomponDuoTrio_Senior[Category],Majorette_Duo_PomponDuoTrio_Senior[[#This Row],[Category]],Majorette_Duo_PomponDuoTrio_Senior[FINAL SCORE],"&gt;"&amp;Majorette_Duo_PomponDuoTrio_Senior[[#This Row],[FINAL SCORE]])+1</f>
        <v>1</v>
      </c>
      <c r="AJ2" s="16" t="s">
        <v>118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82</v>
      </c>
      <c r="B3" s="17">
        <v>2</v>
      </c>
      <c r="C3" s="17" t="s">
        <v>115</v>
      </c>
      <c r="D3" s="17" t="s">
        <v>29</v>
      </c>
      <c r="E3" s="18"/>
      <c r="F3" s="17" t="s">
        <v>123</v>
      </c>
      <c r="G3" s="17" t="s">
        <v>60</v>
      </c>
      <c r="H3" s="19" t="s">
        <v>25</v>
      </c>
      <c r="I3" s="20"/>
      <c r="J3" s="21"/>
      <c r="K3" s="22">
        <f>Majorette_Duo_PomponDuoTrio_Senior[[#This Row],[Judge 1
Tamara Beljak]]-J3</f>
        <v>0</v>
      </c>
      <c r="L3" s="23">
        <f>COUNTIFS(Majorette_Duo_PomponDuoTrio_Senior[Age
Division],Majorette_Duo_PomponDuoTrio_Senior[[#This Row],[Age
Division]],Majorette_Duo_PomponDuoTrio_Senior[Category],Majorette_Duo_PomponDuoTrio_Senior[[#This Row],[Category]],Majorette_Duo_PomponDuoTrio_Senior[J1 TOTAL],"&gt;"&amp;Majorette_Duo_PomponDuoTrio_Senior[[#This Row],[J1 TOTAL]])+1</f>
        <v>1</v>
      </c>
      <c r="M3" s="20"/>
      <c r="N3" s="21"/>
      <c r="O3" s="22">
        <f>Majorette_Duo_PomponDuoTrio_Senior[[#This Row],[Judge 2
Tihomir Bendelja]]-Majorette_Duo_PomponDuoTrio_Senior[[#This Row],[J2 (-)]]</f>
        <v>0</v>
      </c>
      <c r="P3" s="23">
        <f>COUNTIFS(Majorette_Duo_PomponDuoTrio_Senior[Age
Division],Majorette_Duo_PomponDuoTrio_Senior[[#This Row],[Age
Division]],Majorette_Duo_PomponDuoTrio_Senior[Category],Majorette_Duo_PomponDuoTrio_Senior[[#This Row],[Category]],Majorette_Duo_PomponDuoTrio_Senior[J2 TOTAL],"&gt;"&amp;Majorette_Duo_PomponDuoTrio_Senior[[#This Row],[J2 TOTAL]])+1</f>
        <v>1</v>
      </c>
      <c r="Q3" s="20">
        <v>25.9</v>
      </c>
      <c r="R3" s="21">
        <v>0.5</v>
      </c>
      <c r="S3" s="22">
        <f>Majorette_Duo_PomponDuoTrio_Senior[[#This Row],[Judge 3
Tea Softić]]-R3</f>
        <v>25.4</v>
      </c>
      <c r="T3" s="23">
        <f>COUNTIFS(Majorette_Duo_PomponDuoTrio_Senior[Age
Division],Majorette_Duo_PomponDuoTrio_Senior[[#This Row],[Age
Division]],Majorette_Duo_PomponDuoTrio_Senior[Category],Majorette_Duo_PomponDuoTrio_Senior[[#This Row],[Category]],Majorette_Duo_PomponDuoTrio_Senior[J3 TOTAL],"&gt;"&amp;Majorette_Duo_PomponDuoTrio_Senior[[#This Row],[J3 TOTAL]])+1</f>
        <v>2</v>
      </c>
      <c r="U3" s="20">
        <v>26.9</v>
      </c>
      <c r="V3" s="21">
        <v>0.5</v>
      </c>
      <c r="W3" s="22">
        <f>Majorette_Duo_PomponDuoTrio_Senior[[#This Row],[Judge 4
Bernard Barač]]-V3</f>
        <v>26.4</v>
      </c>
      <c r="X3" s="23">
        <f>COUNTIFS(Majorette_Duo_PomponDuoTrio_Senior[Age
Division],Majorette_Duo_PomponDuoTrio_Senior[[#This Row],[Age
Division]],Majorette_Duo_PomponDuoTrio_Senior[Category],Majorette_Duo_PomponDuoTrio_Senior[[#This Row],[Category]],Majorette_Duo_PomponDuoTrio_Senior[J4 TOTAL],"&gt;"&amp;Majorette_Duo_PomponDuoTrio_Senior[[#This Row],[J4 TOTAL]])+1</f>
        <v>2</v>
      </c>
      <c r="Y3" s="20">
        <v>25.1</v>
      </c>
      <c r="Z3" s="21">
        <v>0.5</v>
      </c>
      <c r="AA3" s="22">
        <f>Majorette_Duo_PomponDuoTrio_Senior[[#This Row],[Judge 5
Barbara Novina]]-Z3</f>
        <v>24.6</v>
      </c>
      <c r="AB3" s="23">
        <f>COUNTIFS(Majorette_Duo_PomponDuoTrio_Senior[Age
Division],Majorette_Duo_PomponDuoTrio_Senior[[#This Row],[Age
Division]],Majorette_Duo_PomponDuoTrio_Senior[Category],Majorette_Duo_PomponDuoTrio_Senior[[#This Row],[Category]],Majorette_Duo_PomponDuoTrio_Senior[J5 TOTAL],"&gt;"&amp;Majorette_Duo_PomponDuoTrio_Senior[[#This Row],[J5 TOTAL]])+1</f>
        <v>2</v>
      </c>
      <c r="AC3" s="24">
        <f>SUM(Majorette_Duo_PomponDuoTrio_Senior[[#This Row],[J1 TOTAL]]+Majorette_Duo_PomponDuoTrio_Senior[[#This Row],[J2 TOTAL]]+Majorette_Duo_PomponDuoTrio_Senior[[#This Row],[J3 TOTAL]]+Majorette_Duo_PomponDuoTrio_Senior[[#This Row],[J4 TOTAL]])+Majorette_Duo_PomponDuoTrio_Senior[[#This Row],[J5 TOTAL]]</f>
        <v>76.400000000000006</v>
      </c>
      <c r="AD3" s="24"/>
      <c r="AE3" s="24"/>
      <c r="AF3" s="24">
        <f>SUM(Majorette_Duo_PomponDuoTrio_Senior[[#This Row],[Total]]-Majorette_Duo_PomponDuoTrio_Senior[[#This Row],[Low]]-Majorette_Duo_PomponDuoTrio_Senior[[#This Row],[High]])</f>
        <v>76.400000000000006</v>
      </c>
      <c r="AG3" s="24">
        <f>AVERAGE(I3,M3,Q3,U3,Y3)</f>
        <v>25.966666666666669</v>
      </c>
      <c r="AH3" s="25">
        <f>Majorette_Duo_PomponDuoTrio_Senior[[#This Row],[Final Total]]</f>
        <v>76.400000000000006</v>
      </c>
      <c r="AI3" s="26">
        <f>COUNTIFS(Majorette_Duo_PomponDuoTrio_Senior[Age
Division],Majorette_Duo_PomponDuoTrio_Senior[[#This Row],[Age
Division]],Majorette_Duo_PomponDuoTrio_Senior[Category],Majorette_Duo_PomponDuoTrio_Senior[[#This Row],[Category]],Majorette_Duo_PomponDuoTrio_Senior[FINAL SCORE],"&gt;"&amp;Majorette_Duo_PomponDuoTrio_Senior[[#This Row],[FINAL SCORE]])+1</f>
        <v>2</v>
      </c>
      <c r="AJ3" s="16" t="s">
        <v>118</v>
      </c>
    </row>
    <row r="4" spans="1:55" ht="15.6" x14ac:dyDescent="0.3">
      <c r="A4" s="16">
        <v>80</v>
      </c>
      <c r="B4" s="17">
        <v>2</v>
      </c>
      <c r="C4" s="17" t="s">
        <v>115</v>
      </c>
      <c r="D4" s="17" t="s">
        <v>29</v>
      </c>
      <c r="E4" s="17"/>
      <c r="F4" s="17" t="s">
        <v>122</v>
      </c>
      <c r="G4" s="17" t="s">
        <v>55</v>
      </c>
      <c r="H4" s="19" t="s">
        <v>25</v>
      </c>
      <c r="I4" s="20"/>
      <c r="J4" s="21"/>
      <c r="K4" s="22">
        <f>Majorette_Duo_PomponDuoTrio_Senior[[#This Row],[Judge 1
Tamara Beljak]]-J4</f>
        <v>0</v>
      </c>
      <c r="L4" s="23">
        <f>COUNTIFS(Majorette_Duo_PomponDuoTrio_Senior[Age
Division],Majorette_Duo_PomponDuoTrio_Senior[[#This Row],[Age
Division]],Majorette_Duo_PomponDuoTrio_Senior[Category],Majorette_Duo_PomponDuoTrio_Senior[[#This Row],[Category]],Majorette_Duo_PomponDuoTrio_Senior[J1 TOTAL],"&gt;"&amp;Majorette_Duo_PomponDuoTrio_Senior[[#This Row],[J1 TOTAL]])+1</f>
        <v>1</v>
      </c>
      <c r="M4" s="20"/>
      <c r="N4" s="21"/>
      <c r="O4" s="22">
        <f>Majorette_Duo_PomponDuoTrio_Senior[[#This Row],[Judge 2
Tihomir Bendelja]]-Majorette_Duo_PomponDuoTrio_Senior[[#This Row],[J2 (-)]]</f>
        <v>0</v>
      </c>
      <c r="P4" s="23">
        <f>COUNTIFS(Majorette_Duo_PomponDuoTrio_Senior[Age
Division],Majorette_Duo_PomponDuoTrio_Senior[[#This Row],[Age
Division]],Majorette_Duo_PomponDuoTrio_Senior[Category],Majorette_Duo_PomponDuoTrio_Senior[[#This Row],[Category]],Majorette_Duo_PomponDuoTrio_Senior[J2 TOTAL],"&gt;"&amp;Majorette_Duo_PomponDuoTrio_Senior[[#This Row],[J2 TOTAL]])+1</f>
        <v>1</v>
      </c>
      <c r="Q4" s="20">
        <v>25</v>
      </c>
      <c r="R4" s="21">
        <v>0</v>
      </c>
      <c r="S4" s="22">
        <f>Majorette_Duo_PomponDuoTrio_Senior[[#This Row],[Judge 3
Tea Softić]]-R4</f>
        <v>25</v>
      </c>
      <c r="T4" s="23">
        <f>COUNTIFS(Majorette_Duo_PomponDuoTrio_Senior[Age
Division],Majorette_Duo_PomponDuoTrio_Senior[[#This Row],[Age
Division]],Majorette_Duo_PomponDuoTrio_Senior[Category],Majorette_Duo_PomponDuoTrio_Senior[[#This Row],[Category]],Majorette_Duo_PomponDuoTrio_Senior[J3 TOTAL],"&gt;"&amp;Majorette_Duo_PomponDuoTrio_Senior[[#This Row],[J3 TOTAL]])+1</f>
        <v>3</v>
      </c>
      <c r="U4" s="20">
        <v>26.3</v>
      </c>
      <c r="V4" s="21">
        <v>0</v>
      </c>
      <c r="W4" s="22">
        <f>Majorette_Duo_PomponDuoTrio_Senior[[#This Row],[Judge 4
Bernard Barač]]-V4</f>
        <v>26.3</v>
      </c>
      <c r="X4" s="23">
        <f>COUNTIFS(Majorette_Duo_PomponDuoTrio_Senior[Age
Division],Majorette_Duo_PomponDuoTrio_Senior[[#This Row],[Age
Division]],Majorette_Duo_PomponDuoTrio_Senior[Category],Majorette_Duo_PomponDuoTrio_Senior[[#This Row],[Category]],Majorette_Duo_PomponDuoTrio_Senior[J4 TOTAL],"&gt;"&amp;Majorette_Duo_PomponDuoTrio_Senior[[#This Row],[J4 TOTAL]])+1</f>
        <v>3</v>
      </c>
      <c r="Y4" s="20">
        <v>24.2</v>
      </c>
      <c r="Z4" s="21">
        <v>0</v>
      </c>
      <c r="AA4" s="22">
        <f>Majorette_Duo_PomponDuoTrio_Senior[[#This Row],[Judge 5
Barbara Novina]]-Z4</f>
        <v>24.2</v>
      </c>
      <c r="AB4" s="23">
        <f>COUNTIFS(Majorette_Duo_PomponDuoTrio_Senior[Age
Division],Majorette_Duo_PomponDuoTrio_Senior[[#This Row],[Age
Division]],Majorette_Duo_PomponDuoTrio_Senior[Category],Majorette_Duo_PomponDuoTrio_Senior[[#This Row],[Category]],Majorette_Duo_PomponDuoTrio_Senior[J5 TOTAL],"&gt;"&amp;Majorette_Duo_PomponDuoTrio_Senior[[#This Row],[J5 TOTAL]])+1</f>
        <v>3</v>
      </c>
      <c r="AC4" s="24">
        <f>SUM(Majorette_Duo_PomponDuoTrio_Senior[[#This Row],[J1 TOTAL]]+Majorette_Duo_PomponDuoTrio_Senior[[#This Row],[J2 TOTAL]]+Majorette_Duo_PomponDuoTrio_Senior[[#This Row],[J3 TOTAL]]+Majorette_Duo_PomponDuoTrio_Senior[[#This Row],[J4 TOTAL]])+Majorette_Duo_PomponDuoTrio_Senior[[#This Row],[J5 TOTAL]]</f>
        <v>75.5</v>
      </c>
      <c r="AD4" s="24"/>
      <c r="AE4" s="24"/>
      <c r="AF4" s="24">
        <f>SUM(Majorette_Duo_PomponDuoTrio_Senior[[#This Row],[Total]]-Majorette_Duo_PomponDuoTrio_Senior[[#This Row],[Low]]-Majorette_Duo_PomponDuoTrio_Senior[[#This Row],[High]])</f>
        <v>75.5</v>
      </c>
      <c r="AG4" s="24">
        <f>AVERAGE(I4,M4,Q4,U4,Y4)</f>
        <v>25.166666666666668</v>
      </c>
      <c r="AH4" s="25">
        <f>Majorette_Duo_PomponDuoTrio_Senior[[#This Row],[Final Total]]</f>
        <v>75.5</v>
      </c>
      <c r="AI4" s="28">
        <f>COUNTIFS(Majorette_Duo_PomponDuoTrio_Senior[Age
Division],Majorette_Duo_PomponDuoTrio_Senior[[#This Row],[Age
Division]],Majorette_Duo_PomponDuoTrio_Senior[Category],Majorette_Duo_PomponDuoTrio_Senior[[#This Row],[Category]],Majorette_Duo_PomponDuoTrio_Senior[FINAL SCORE],"&gt;"&amp;Majorette_Duo_PomponDuoTrio_Senior[[#This Row],[FINAL SCORE]])+1</f>
        <v>3</v>
      </c>
      <c r="AJ4" s="16" t="s">
        <v>118</v>
      </c>
    </row>
  </sheetData>
  <sheetProtection algorithmName="SHA-512" hashValue="tHva/+pdoRhC/zBF8hddLCDiZNd8CjPloNuWF2onUuhw3m4e4D72o43GR7uaQxtLu6jJUzyGNV/VXzpB5TTYvg==" saltValue="akVIbimFP2YqZBmOoxvxOw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59873-77DD-4038-8C39-5C2F31FB67B3}">
  <dimension ref="A1:BC2"/>
  <sheetViews>
    <sheetView zoomScale="70" zoomScaleNormal="70" workbookViewId="0">
      <pane xSplit="8" topLeftCell="M1" activePane="topRight" state="frozen"/>
      <selection activeCell="R26" sqref="R26"/>
      <selection pane="topRight" activeCell="V37" sqref="V37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22.109375" style="29" customWidth="1"/>
    <col min="4" max="4" width="12.5546875" style="30" customWidth="1"/>
    <col min="5" max="5" width="16.33203125" style="30" hidden="1" customWidth="1"/>
    <col min="6" max="6" width="26.5546875" style="19" hidden="1" customWidth="1"/>
    <col min="7" max="7" width="29" style="19" customWidth="1"/>
    <col min="8" max="8" width="14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5</v>
      </c>
      <c r="B2" s="17"/>
      <c r="C2" s="17" t="s">
        <v>129</v>
      </c>
      <c r="D2" s="17" t="s">
        <v>127</v>
      </c>
      <c r="E2" s="17"/>
      <c r="F2" s="17"/>
      <c r="G2" s="17" t="s">
        <v>126</v>
      </c>
      <c r="H2" s="19" t="s">
        <v>28</v>
      </c>
      <c r="I2" s="20">
        <v>64</v>
      </c>
      <c r="J2" s="21">
        <v>0</v>
      </c>
      <c r="K2" s="22">
        <f>Majorette_Group_TraditionalMajoretteGroup_Mini[[#This Row],[Judge 1
Tamara Beljak]]-J2</f>
        <v>64</v>
      </c>
      <c r="L2" s="23">
        <f>COUNTIFS(Majorette_Group_TraditionalMajoretteGroup_Mini[Age
Division],Majorette_Group_TraditionalMajoretteGroup_Mini[[#This Row],[Age
Division]],Majorette_Group_TraditionalMajoretteGroup_Mini[Category],Majorette_Group_TraditionalMajoretteGroup_Mini[[#This Row],[Category]],Majorette_Group_TraditionalMajoretteGroup_Mini[J1 TOTAL],"&gt;"&amp;Majorette_Group_TraditionalMajoretteGroup_Mini[[#This Row],[J1 TOTAL]])+1</f>
        <v>1</v>
      </c>
      <c r="M2" s="20">
        <v>61.7</v>
      </c>
      <c r="N2" s="21">
        <v>0</v>
      </c>
      <c r="O2" s="22">
        <f>Majorette_Group_TraditionalMajoretteGroup_Mini[[#This Row],[Judge 2
Tihomir Bendelja]]-Majorette_Group_TraditionalMajoretteGroup_Mini[[#This Row],[J2 (-)]]</f>
        <v>61.7</v>
      </c>
      <c r="P2" s="23">
        <f>COUNTIFS(Majorette_Group_TraditionalMajoretteGroup_Mini[Age
Division],Majorette_Group_TraditionalMajoretteGroup_Mini[[#This Row],[Age
Division]],Majorette_Group_TraditionalMajoretteGroup_Mini[Category],Majorette_Group_TraditionalMajoretteGroup_Mini[[#This Row],[Category]],Majorette_Group_TraditionalMajoretteGroup_Mini[J2 TOTAL],"&gt;"&amp;Majorette_Group_TraditionalMajoretteGroup_Mini[[#This Row],[J2 TOTAL]])+1</f>
        <v>1</v>
      </c>
      <c r="Q2" s="20">
        <v>63.7</v>
      </c>
      <c r="R2" s="21"/>
      <c r="S2" s="22">
        <f>Majorette_Group_TraditionalMajoretteGroup_Mini[[#This Row],[Judge 3
Tea Softić]]-R2</f>
        <v>63.7</v>
      </c>
      <c r="T2" s="23">
        <f>COUNTIFS(Majorette_Group_TraditionalMajoretteGroup_Mini[Age
Division],Majorette_Group_TraditionalMajoretteGroup_Mini[[#This Row],[Age
Division]],Majorette_Group_TraditionalMajoretteGroup_Mini[Category],Majorette_Group_TraditionalMajoretteGroup_Mini[[#This Row],[Category]],Majorette_Group_TraditionalMajoretteGroup_Mini[J3 TOTAL],"&gt;"&amp;Majorette_Group_TraditionalMajoretteGroup_Mini[[#This Row],[J3 TOTAL]])+1</f>
        <v>1</v>
      </c>
      <c r="U2" s="20">
        <v>61.8</v>
      </c>
      <c r="V2" s="21">
        <v>0</v>
      </c>
      <c r="W2" s="22">
        <f>Majorette_Group_TraditionalMajoretteGroup_Mini[[#This Row],[Judge 4
Bernard Barač]]-V2</f>
        <v>61.8</v>
      </c>
      <c r="X2" s="23">
        <f>COUNTIFS(Majorette_Group_TraditionalMajoretteGroup_Mini[Age
Division],Majorette_Group_TraditionalMajoretteGroup_Mini[[#This Row],[Age
Division]],Majorette_Group_TraditionalMajoretteGroup_Mini[Category],Majorette_Group_TraditionalMajoretteGroup_Mini[[#This Row],[Category]],Majorette_Group_TraditionalMajoretteGroup_Mini[J4 TOTAL],"&gt;"&amp;Majorette_Group_TraditionalMajoretteGroup_Mini[[#This Row],[J4 TOTAL]])+1</f>
        <v>1</v>
      </c>
      <c r="Y2" s="20">
        <v>58.5</v>
      </c>
      <c r="Z2" s="21">
        <v>0</v>
      </c>
      <c r="AA2" s="22">
        <f>Majorette_Group_TraditionalMajoretteGroup_Mini[[#This Row],[Judge 5
Barbara Novina]]-Z2</f>
        <v>58.5</v>
      </c>
      <c r="AB2" s="23">
        <f>COUNTIFS(Majorette_Group_TraditionalMajoretteGroup_Mini[Age
Division],Majorette_Group_TraditionalMajoretteGroup_Mini[[#This Row],[Age
Division]],Majorette_Group_TraditionalMajoretteGroup_Mini[Category],Majorette_Group_TraditionalMajoretteGroup_Mini[[#This Row],[Category]],Majorette_Group_TraditionalMajoretteGroup_Mini[J5 TOTAL],"&gt;"&amp;Majorette_Group_TraditionalMajoretteGroup_Mini[[#This Row],[J5 TOTAL]])+1</f>
        <v>1</v>
      </c>
      <c r="AC2" s="24">
        <f>SUM(Majorette_Group_TraditionalMajoretteGroup_Mini[[#This Row],[J1 TOTAL]]+Majorette_Group_TraditionalMajoretteGroup_Mini[[#This Row],[J2 TOTAL]]+Majorette_Group_TraditionalMajoretteGroup_Mini[[#This Row],[J3 TOTAL]]+Majorette_Group_TraditionalMajoretteGroup_Mini[[#This Row],[J4 TOTAL]])+Majorette_Group_TraditionalMajoretteGroup_Mini[[#This Row],[J5 TOTAL]]</f>
        <v>309.7</v>
      </c>
      <c r="AD2" s="24">
        <f>MIN(Majorette_Group_TraditionalMajoretteGroup_Mini[[#This Row],[J1 TOTAL]],Majorette_Group_TraditionalMajoretteGroup_Mini[[#This Row],[J2 TOTAL]],Majorette_Group_TraditionalMajoretteGroup_Mini[[#This Row],[J3 TOTAL]],Majorette_Group_TraditionalMajoretteGroup_Mini[[#This Row],[J4 TOTAL]],Majorette_Group_TraditionalMajoretteGroup_Mini[[#This Row],[J5 TOTAL]])</f>
        <v>58.5</v>
      </c>
      <c r="AE2" s="24">
        <f>MAX(Majorette_Group_TraditionalMajoretteGroup_Mini[[#This Row],[J1 TOTAL]],Majorette_Group_TraditionalMajoretteGroup_Mini[[#This Row],[J2 TOTAL]],Majorette_Group_TraditionalMajoretteGroup_Mini[[#This Row],[J3 TOTAL]],Majorette_Group_TraditionalMajoretteGroup_Mini[[#This Row],[J4 TOTAL]],Majorette_Group_TraditionalMajoretteGroup_Mini[[#This Row],[J5 TOTAL]],)</f>
        <v>64</v>
      </c>
      <c r="AF2" s="24">
        <f>SUM(Majorette_Group_TraditionalMajoretteGroup_Mini[[#This Row],[Total]]-Majorette_Group_TraditionalMajoretteGroup_Mini[[#This Row],[Low]]-Majorette_Group_TraditionalMajoretteGroup_Mini[[#This Row],[High]])</f>
        <v>187.2</v>
      </c>
      <c r="AG2" s="24">
        <f>AVERAGE(I2,M2,Q2,U2,Y2)</f>
        <v>61.94</v>
      </c>
      <c r="AH2" s="25">
        <f>Majorette_Group_TraditionalMajoretteGroup_Mini[[#This Row],[Final Total]]</f>
        <v>187.2</v>
      </c>
      <c r="AI2" s="28">
        <f>COUNTIFS(Majorette_Group_TraditionalMajoretteGroup_Mini[Age
Division],Majorette_Group_TraditionalMajoretteGroup_Mini[[#This Row],[Age
Division]],Majorette_Group_TraditionalMajoretteGroup_Mini[Category],Majorette_Group_TraditionalMajoretteGroup_Mini[[#This Row],[Category]],Majorette_Group_TraditionalMajoretteGroup_Mini[FINAL SCORE],"&gt;"&amp;Majorette_Group_TraditionalMajoretteGroup_Mini[[#This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pWnXotw4/kcgdOtz7EpBJG5NYYQwojpM+X3KwR5OpihZA3RX99NlBPYGh/QXn8Qs5iVMiyoOwOBWfvupiHHXuA==" saltValue="3whLXodAEPkxrPD/FZ2pMA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8DDF2-A819-4BDA-92CD-874FC21B6A68}">
  <dimension ref="A1:BC3"/>
  <sheetViews>
    <sheetView zoomScale="80" zoomScaleNormal="80" workbookViewId="0">
      <pane xSplit="8" topLeftCell="I1" activePane="topRight" state="frozen"/>
      <selection activeCell="R26" sqref="R26"/>
      <selection pane="topRight" activeCell="O37" sqref="O37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22.109375" style="29" customWidth="1"/>
    <col min="4" max="4" width="12.5546875" style="30" customWidth="1"/>
    <col min="5" max="5" width="16.33203125" style="30" hidden="1" customWidth="1"/>
    <col min="6" max="6" width="26.5546875" style="19" hidden="1" customWidth="1"/>
    <col min="7" max="7" width="52.5546875" style="19" customWidth="1"/>
    <col min="8" max="8" width="14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13</v>
      </c>
      <c r="B2" s="17"/>
      <c r="C2" s="17" t="s">
        <v>125</v>
      </c>
      <c r="D2" s="17" t="s">
        <v>30</v>
      </c>
      <c r="E2" s="17"/>
      <c r="F2" s="17"/>
      <c r="G2" s="17" t="s">
        <v>24</v>
      </c>
      <c r="H2" s="19" t="s">
        <v>25</v>
      </c>
      <c r="I2" s="20">
        <v>64.5</v>
      </c>
      <c r="J2" s="21">
        <v>0</v>
      </c>
      <c r="K2" s="22">
        <f>Majorette_Group_ModernMajoretteTeam_Children[[#This Row],[Judge 1
Tamara Beljak]]-J2</f>
        <v>64.5</v>
      </c>
      <c r="L2" s="23">
        <f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Row],[Category]],Majorette_Group_ModernMajoretteTeam_Children[J1 TOTAL],"&gt;"&amp;Majorette_Group_ModernMajoretteTeam_Children[[#This Row],[J1 TOTAL]])+1</f>
        <v>1</v>
      </c>
      <c r="M2" s="20">
        <v>62.4</v>
      </c>
      <c r="N2" s="21">
        <v>0</v>
      </c>
      <c r="O2" s="22">
        <f>Majorette_Group_ModernMajoretteTeam_Children[[#This Row],[Judge 2
Tihomir Bendelja]]-Majorette_Group_ModernMajoretteTeam_Children[[#This Row],[J2 (-)]]</f>
        <v>62.4</v>
      </c>
      <c r="P2" s="23">
        <f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Row],[Category]],Majorette_Group_ModernMajoretteTeam_Children[J2 TOTAL],"&gt;"&amp;Majorette_Group_ModernMajoretteTeam_Children[[#This Row],[J2 TOTAL]])+1</f>
        <v>1</v>
      </c>
      <c r="Q2" s="20">
        <v>64</v>
      </c>
      <c r="R2" s="21">
        <v>0</v>
      </c>
      <c r="S2" s="22">
        <f>Majorette_Group_ModernMajoretteTeam_Children[[#This Row],[Judge 3
Tea Softić]]-R2</f>
        <v>64</v>
      </c>
      <c r="T2" s="23">
        <f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Row],[Category]],Majorette_Group_ModernMajoretteTeam_Children[J3 TOTAL],"&gt;"&amp;Majorette_Group_ModernMajoretteTeam_Children[[#This Row],[J3 TOTAL]])+1</f>
        <v>1</v>
      </c>
      <c r="U2" s="20">
        <v>60.9</v>
      </c>
      <c r="V2" s="21">
        <v>0</v>
      </c>
      <c r="W2" s="22">
        <f>Majorette_Group_ModernMajoretteTeam_Children[[#This Row],[Judge 4
Bernard Barač]]-V2</f>
        <v>60.9</v>
      </c>
      <c r="X2" s="23">
        <f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Row],[Category]],Majorette_Group_ModernMajoretteTeam_Children[J4 TOTAL],"&gt;"&amp;Majorette_Group_ModernMajoretteTeam_Children[[#This Row],[J4 TOTAL]])+1</f>
        <v>1</v>
      </c>
      <c r="Y2" s="20">
        <v>58</v>
      </c>
      <c r="Z2" s="21">
        <v>0</v>
      </c>
      <c r="AA2" s="22">
        <f>Majorette_Group_ModernMajoretteTeam_Children[[#This Row],[Judge 5
Barbara Novina]]-Z2</f>
        <v>58</v>
      </c>
      <c r="AB2" s="23">
        <f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Row],[Category]],Majorette_Group_ModernMajoretteTeam_Children[J5 TOTAL],"&gt;"&amp;Majorette_Group_ModernMajoretteTeam_Children[[#This Row],[J5 TOTAL]])+1</f>
        <v>1</v>
      </c>
      <c r="AC2" s="24">
        <f>SUM(Majorette_Group_ModernMajoretteTeam_Children[[#This Row],[J1 TOTAL]]+Majorette_Group_ModernMajoretteTeam_Children[[#This Row],[J2 TOTAL]]+Majorette_Group_ModernMajoretteTeam_Children[[#This Row],[J3 TOTAL]]+Majorette_Group_ModernMajoretteTeam_Children[[#This Row],[J4 TOTAL]])+Majorette_Group_ModernMajoretteTeam_Children[[#This Row],[J5 TOTAL]]</f>
        <v>309.8</v>
      </c>
      <c r="AD2" s="24">
        <f>MIN(Majorette_Group_ModernMajoretteTeam_Children[[#This Row],[J1 TOTAL]],Majorette_Group_ModernMajoretteTeam_Children[[#This Row],[J2 TOTAL]],Majorette_Group_ModernMajoretteTeam_Children[[#This Row],[J3 TOTAL]],Majorette_Group_ModernMajoretteTeam_Children[[#This Row],[J4 TOTAL]],Majorette_Group_ModernMajoretteTeam_Children[[#This Row],[J5 TOTAL]])</f>
        <v>58</v>
      </c>
      <c r="AE2" s="24">
        <f>MAX(Majorette_Group_ModernMajoretteTeam_Children[[#This Row],[J1 TOTAL]],Majorette_Group_ModernMajoretteTeam_Children[[#This Row],[J2 TOTAL]],Majorette_Group_ModernMajoretteTeam_Children[[#This Row],[J3 TOTAL]],Majorette_Group_ModernMajoretteTeam_Children[[#This Row],[J4 TOTAL]],Majorette_Group_ModernMajoretteTeam_Children[[#This Row],[J5 TOTAL]],)</f>
        <v>64.5</v>
      </c>
      <c r="AF2" s="24">
        <f>SUM(Majorette_Group_ModernMajoretteTeam_Children[[#This Row],[Total]]-Majorette_Group_ModernMajoretteTeam_Children[[#This Row],[Low]]-Majorette_Group_ModernMajoretteTeam_Children[[#This Row],[High]])</f>
        <v>187.3</v>
      </c>
      <c r="AG2" s="24">
        <f>AVERAGE(I2,M2,Q2,U2,Y2)</f>
        <v>61.96</v>
      </c>
      <c r="AH2" s="25">
        <f>Majorette_Group_ModernMajoretteTeam_Children[[#This Row],[Final Total]]</f>
        <v>187.3</v>
      </c>
      <c r="AI2" s="28">
        <f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Row],[Category]],Majorette_Group_ModernMajoretteTeam_Children[FINAL SCORE],"&gt;"&amp;Majorette_Group_ModernMajoretteTeam_Children[[#This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14</v>
      </c>
      <c r="B3" s="17"/>
      <c r="C3" s="17" t="s">
        <v>125</v>
      </c>
      <c r="D3" s="17" t="s">
        <v>30</v>
      </c>
      <c r="E3" s="18"/>
      <c r="F3" s="17"/>
      <c r="G3" s="17" t="s">
        <v>98</v>
      </c>
      <c r="H3" s="19" t="s">
        <v>28</v>
      </c>
      <c r="I3" s="20">
        <v>51.5</v>
      </c>
      <c r="J3" s="21">
        <v>0</v>
      </c>
      <c r="K3" s="22">
        <f>Majorette_Group_ModernMajoretteTeam_Children[[#This Row],[Judge 1
Tamara Beljak]]-J3</f>
        <v>51.5</v>
      </c>
      <c r="L3" s="23">
        <f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Row],[Category]],Majorette_Group_ModernMajoretteTeam_Children[J1 TOTAL],"&gt;"&amp;Majorette_Group_ModernMajoretteTeam_Children[[#This Row],[J1 TOTAL]])+1</f>
        <v>2</v>
      </c>
      <c r="M3" s="20">
        <v>49</v>
      </c>
      <c r="N3" s="21">
        <v>0</v>
      </c>
      <c r="O3" s="22">
        <f>Majorette_Group_ModernMajoretteTeam_Children[[#This Row],[Judge 2
Tihomir Bendelja]]-Majorette_Group_ModernMajoretteTeam_Children[[#This Row],[J2 (-)]]</f>
        <v>49</v>
      </c>
      <c r="P3" s="23">
        <f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Row],[Category]],Majorette_Group_ModernMajoretteTeam_Children[J2 TOTAL],"&gt;"&amp;Majorette_Group_ModernMajoretteTeam_Children[[#This Row],[J2 TOTAL]])+1</f>
        <v>2</v>
      </c>
      <c r="Q3" s="20">
        <v>58.3</v>
      </c>
      <c r="R3" s="21">
        <v>0</v>
      </c>
      <c r="S3" s="22">
        <f>Majorette_Group_ModernMajoretteTeam_Children[[#This Row],[Judge 3
Tea Softić]]-R3</f>
        <v>58.3</v>
      </c>
      <c r="T3" s="23">
        <f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Row],[Category]],Majorette_Group_ModernMajoretteTeam_Children[J3 TOTAL],"&gt;"&amp;Majorette_Group_ModernMajoretteTeam_Children[[#This Row],[J3 TOTAL]])+1</f>
        <v>2</v>
      </c>
      <c r="U3" s="20">
        <v>59</v>
      </c>
      <c r="V3" s="21">
        <v>0</v>
      </c>
      <c r="W3" s="22">
        <f>Majorette_Group_ModernMajoretteTeam_Children[[#This Row],[Judge 4
Bernard Barač]]-V3</f>
        <v>59</v>
      </c>
      <c r="X3" s="23">
        <f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Row],[Category]],Majorette_Group_ModernMajoretteTeam_Children[J4 TOTAL],"&gt;"&amp;Majorette_Group_ModernMajoretteTeam_Children[[#This Row],[J4 TOTAL]])+1</f>
        <v>2</v>
      </c>
      <c r="Y3" s="20">
        <v>54.6</v>
      </c>
      <c r="Z3" s="21">
        <v>0</v>
      </c>
      <c r="AA3" s="22">
        <f>Majorette_Group_ModernMajoretteTeam_Children[[#This Row],[Judge 5
Barbara Novina]]-Z3</f>
        <v>54.6</v>
      </c>
      <c r="AB3" s="23">
        <f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Row],[Category]],Majorette_Group_ModernMajoretteTeam_Children[J5 TOTAL],"&gt;"&amp;Majorette_Group_ModernMajoretteTeam_Children[[#This Row],[J5 TOTAL]])+1</f>
        <v>2</v>
      </c>
      <c r="AC3" s="24">
        <f>SUM(Majorette_Group_ModernMajoretteTeam_Children[[#This Row],[J1 TOTAL]]+Majorette_Group_ModernMajoretteTeam_Children[[#This Row],[J2 TOTAL]]+Majorette_Group_ModernMajoretteTeam_Children[[#This Row],[J3 TOTAL]]+Majorette_Group_ModernMajoretteTeam_Children[[#This Row],[J4 TOTAL]])+Majorette_Group_ModernMajoretteTeam_Children[[#This Row],[J5 TOTAL]]</f>
        <v>272.40000000000003</v>
      </c>
      <c r="AD3" s="24">
        <f>MIN(Majorette_Group_ModernMajoretteTeam_Children[[#This Row],[J1 TOTAL]],Majorette_Group_ModernMajoretteTeam_Children[[#This Row],[J2 TOTAL]],Majorette_Group_ModernMajoretteTeam_Children[[#This Row],[J3 TOTAL]],Majorette_Group_ModernMajoretteTeam_Children[[#This Row],[J4 TOTAL]],Majorette_Group_ModernMajoretteTeam_Children[[#This Row],[J5 TOTAL]])</f>
        <v>49</v>
      </c>
      <c r="AE3" s="24">
        <f>MAX(Majorette_Group_ModernMajoretteTeam_Children[[#This Row],[J1 TOTAL]],Majorette_Group_ModernMajoretteTeam_Children[[#This Row],[J2 TOTAL]],Majorette_Group_ModernMajoretteTeam_Children[[#This Row],[J3 TOTAL]],Majorette_Group_ModernMajoretteTeam_Children[[#This Row],[J4 TOTAL]],Majorette_Group_ModernMajoretteTeam_Children[[#This Row],[J5 TOTAL]],)</f>
        <v>59</v>
      </c>
      <c r="AF3" s="24">
        <f>SUM(Majorette_Group_ModernMajoretteTeam_Children[[#This Row],[Total]]-Majorette_Group_ModernMajoretteTeam_Children[[#This Row],[Low]]-Majorette_Group_ModernMajoretteTeam_Children[[#This Row],[High]])</f>
        <v>164.40000000000003</v>
      </c>
      <c r="AG3" s="24">
        <f>AVERAGE(I3,M3,Q3,U3,Y3)</f>
        <v>54.480000000000004</v>
      </c>
      <c r="AH3" s="25">
        <f>Majorette_Group_ModernMajoretteTeam_Children[[#This Row],[Final Total]]</f>
        <v>164.40000000000003</v>
      </c>
      <c r="AI3" s="26">
        <f>COUNTIFS(Majorette_Group_ModernMajoretteTeam_Children[Age
Division],Majorette_Group_ModernMajoretteTeam_Children[[#This Row],[Age
Division]],Majorette_Group_ModernMajoretteTeam_Children[Category],Majorette_Group_ModernMajoretteTeam_Children[[#This Row],[Category]],Majorette_Group_ModernMajoretteTeam_Children[FINAL SCORE],"&gt;"&amp;Majorette_Group_ModernMajoretteTeam_Children[[#This Row],[FINAL SCORE]])+1</f>
        <v>2</v>
      </c>
      <c r="AJ3" s="16" t="s">
        <v>26</v>
      </c>
    </row>
  </sheetData>
  <sheetProtection algorithmName="SHA-512" hashValue="R2VznhJqnB8eTyKnj8NWLNF38bcsfJir+DRi5aLBUKu1J0JYBjdu47nKTWRDahbgiw8LRYUd18CqMCN3y9vrQA==" saltValue="5rZG1kJDz4IAJAalG97Lpw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1C5E4-BBA5-4B53-83AC-E3E2D579D3FC}">
  <dimension ref="A1:BC5"/>
  <sheetViews>
    <sheetView zoomScale="80" zoomScaleNormal="80" workbookViewId="0">
      <pane xSplit="8" topLeftCell="I1" activePane="topRight" state="frozen"/>
      <selection activeCell="R26" sqref="R26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22.109375" style="29" customWidth="1"/>
    <col min="4" max="4" width="12.5546875" style="30" customWidth="1"/>
    <col min="5" max="5" width="16.33203125" style="30" hidden="1" customWidth="1"/>
    <col min="6" max="6" width="26.5546875" style="19" hidden="1" customWidth="1"/>
    <col min="7" max="7" width="50.5546875" style="19" customWidth="1"/>
    <col min="8" max="8" width="14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3</v>
      </c>
      <c r="B2" s="17"/>
      <c r="C2" s="17" t="s">
        <v>129</v>
      </c>
      <c r="D2" s="17" t="s">
        <v>30</v>
      </c>
      <c r="E2" s="18"/>
      <c r="F2" s="17"/>
      <c r="G2" s="27" t="s">
        <v>31</v>
      </c>
      <c r="H2" s="19" t="s">
        <v>25</v>
      </c>
      <c r="I2" s="20">
        <v>68.5</v>
      </c>
      <c r="J2" s="21">
        <v>0</v>
      </c>
      <c r="K2" s="22">
        <f>Majorette_Group_TraditionalMajoretteGroup_Children[[#This Row],[Judge 1
Tamara Beljak]]-J2</f>
        <v>68.5</v>
      </c>
      <c r="L2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Row],[Category]],Majorette_Group_TraditionalMajoretteGroup_Children[J1 TOTAL],"&gt;"&amp;Majorette_Group_TraditionalMajoretteGroup_Children[[#This Row],[J1 TOTAL]])+1</f>
        <v>1</v>
      </c>
      <c r="M2" s="20">
        <v>71.400000000000006</v>
      </c>
      <c r="N2" s="21">
        <v>0</v>
      </c>
      <c r="O2" s="22">
        <f>Majorette_Group_TraditionalMajoretteGroup_Children[[#This Row],[Judge 2
Tihomir Bendelja]]-Majorette_Group_TraditionalMajoretteGroup_Children[[#This Row],[J2 (-)]]</f>
        <v>71.400000000000006</v>
      </c>
      <c r="P2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Row],[Category]],Majorette_Group_TraditionalMajoretteGroup_Children[J2 TOTAL],"&gt;"&amp;Majorette_Group_TraditionalMajoretteGroup_Children[[#This Row],[J2 TOTAL]])+1</f>
        <v>1</v>
      </c>
      <c r="Q2" s="20">
        <v>72</v>
      </c>
      <c r="R2" s="21">
        <v>0</v>
      </c>
      <c r="S2" s="22">
        <f>Majorette_Group_TraditionalMajoretteGroup_Children[[#This Row],[Judge 3
Tea Softić]]-R2</f>
        <v>72</v>
      </c>
      <c r="T2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Row],[Category]],Majorette_Group_TraditionalMajoretteGroup_Children[J3 TOTAL],"&gt;"&amp;Majorette_Group_TraditionalMajoretteGroup_Children[[#This Row],[J3 TOTAL]])+1</f>
        <v>1</v>
      </c>
      <c r="U2" s="20">
        <v>64.8</v>
      </c>
      <c r="V2" s="21">
        <v>0</v>
      </c>
      <c r="W2" s="22">
        <f>Majorette_Group_TraditionalMajoretteGroup_Children[[#This Row],[Judge 4
Bernard Barač]]-V2</f>
        <v>64.8</v>
      </c>
      <c r="X2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Row],[Category]],Majorette_Group_TraditionalMajoretteGroup_Children[J4 TOTAL],"&gt;"&amp;Majorette_Group_TraditionalMajoretteGroup_Children[[#This Row],[J4 TOTAL]])+1</f>
        <v>1</v>
      </c>
      <c r="Y2" s="20">
        <v>65.3</v>
      </c>
      <c r="Z2" s="21">
        <v>0</v>
      </c>
      <c r="AA2" s="22">
        <f>Majorette_Group_TraditionalMajoretteGroup_Children[[#This Row],[Judge 5
Barbara Novina]]-Z2</f>
        <v>65.3</v>
      </c>
      <c r="AB2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Row],[Category]],Majorette_Group_TraditionalMajoretteGroup_Children[J5 TOTAL],"&gt;"&amp;Majorette_Group_TraditionalMajoretteGroup_Children[[#This Row],[J5 TOTAL]])+1</f>
        <v>1</v>
      </c>
      <c r="AC2" s="24">
        <f>SUM(Majorette_Group_TraditionalMajoretteGroup_Children[[#This Row],[J1 TOTAL]]+Majorette_Group_TraditionalMajoretteGroup_Children[[#This Row],[J2 TOTAL]]+Majorette_Group_TraditionalMajoretteGroup_Children[[#This Row],[J3 TOTAL]]+Majorette_Group_TraditionalMajoretteGroup_Children[[#This Row],[J4 TOTAL]])+Majorette_Group_TraditionalMajoretteGroup_Children[[#This Row],[J5 TOTAL]]</f>
        <v>342</v>
      </c>
      <c r="AD2" s="24">
        <f>MIN(Majorette_Group_TraditionalMajoretteGroup_Children[[#This Row],[J1 TOTAL]],Majorette_Group_TraditionalMajoretteGroup_Children[[#This Row],[J2 TOTAL]],Majorette_Group_TraditionalMajoretteGroup_Children[[#This Row],[J3 TOTAL]],Majorette_Group_TraditionalMajoretteGroup_Children[[#This Row],[J4 TOTAL]],Majorette_Group_TraditionalMajoretteGroup_Children[[#This Row],[J5 TOTAL]])</f>
        <v>64.8</v>
      </c>
      <c r="AE2" s="24">
        <f>MAX(Majorette_Group_TraditionalMajoretteGroup_Children[[#This Row],[J1 TOTAL]],Majorette_Group_TraditionalMajoretteGroup_Children[[#This Row],[J2 TOTAL]],Majorette_Group_TraditionalMajoretteGroup_Children[[#This Row],[J3 TOTAL]],Majorette_Group_TraditionalMajoretteGroup_Children[[#This Row],[J4 TOTAL]],Majorette_Group_TraditionalMajoretteGroup_Children[[#This Row],[J5 TOTAL]],)</f>
        <v>72</v>
      </c>
      <c r="AF2" s="24">
        <f>SUM(Majorette_Group_TraditionalMajoretteGroup_Children[[#This Row],[Total]]-Majorette_Group_TraditionalMajoretteGroup_Children[[#This Row],[Low]]-Majorette_Group_TraditionalMajoretteGroup_Children[[#This Row],[High]])</f>
        <v>205.2</v>
      </c>
      <c r="AG2" s="24">
        <f>AVERAGE(I2,M2,Q2,U2,Y2)</f>
        <v>68.400000000000006</v>
      </c>
      <c r="AH2" s="25">
        <f>Majorette_Group_TraditionalMajoretteGroup_Children[[#This Row],[Final Total]]</f>
        <v>205.2</v>
      </c>
      <c r="AI2" s="26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Row],[Category]],Majorette_Group_TraditionalMajoretteGroup_Children[FINAL SCORE],"&gt;"&amp;Majorette_Group_TraditionalMajoretteGroup_Children[[#This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1</v>
      </c>
      <c r="B3" s="17"/>
      <c r="C3" s="17" t="s">
        <v>129</v>
      </c>
      <c r="D3" s="17" t="s">
        <v>30</v>
      </c>
      <c r="E3" s="17"/>
      <c r="F3" s="17"/>
      <c r="G3" s="27" t="s">
        <v>83</v>
      </c>
      <c r="H3" s="19" t="s">
        <v>28</v>
      </c>
      <c r="I3" s="20">
        <v>65</v>
      </c>
      <c r="J3" s="21">
        <v>0</v>
      </c>
      <c r="K3" s="22">
        <f>Majorette_Group_TraditionalMajoretteGroup_Children[[#This Row],[Judge 1
Tamara Beljak]]-J3</f>
        <v>65</v>
      </c>
      <c r="L3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Row],[Category]],Majorette_Group_TraditionalMajoretteGroup_Children[J1 TOTAL],"&gt;"&amp;Majorette_Group_TraditionalMajoretteGroup_Children[[#This Row],[J1 TOTAL]])+1</f>
        <v>2</v>
      </c>
      <c r="M3" s="20">
        <v>64.3</v>
      </c>
      <c r="N3" s="21">
        <v>0</v>
      </c>
      <c r="O3" s="22">
        <f>Majorette_Group_TraditionalMajoretteGroup_Children[[#This Row],[Judge 2
Tihomir Bendelja]]-Majorette_Group_TraditionalMajoretteGroup_Children[[#This Row],[J2 (-)]]</f>
        <v>64.3</v>
      </c>
      <c r="P3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Row],[Category]],Majorette_Group_TraditionalMajoretteGroup_Children[J2 TOTAL],"&gt;"&amp;Majorette_Group_TraditionalMajoretteGroup_Children[[#This Row],[J2 TOTAL]])+1</f>
        <v>2</v>
      </c>
      <c r="Q3" s="20">
        <v>65.5</v>
      </c>
      <c r="R3" s="21">
        <v>0</v>
      </c>
      <c r="S3" s="22">
        <f>Majorette_Group_TraditionalMajoretteGroup_Children[[#This Row],[Judge 3
Tea Softić]]-R3</f>
        <v>65.5</v>
      </c>
      <c r="T3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Row],[Category]],Majorette_Group_TraditionalMajoretteGroup_Children[J3 TOTAL],"&gt;"&amp;Majorette_Group_TraditionalMajoretteGroup_Children[[#This Row],[J3 TOTAL]])+1</f>
        <v>2</v>
      </c>
      <c r="U3" s="20">
        <v>64.400000000000006</v>
      </c>
      <c r="V3" s="21">
        <v>0</v>
      </c>
      <c r="W3" s="22">
        <f>Majorette_Group_TraditionalMajoretteGroup_Children[[#This Row],[Judge 4
Bernard Barač]]-V3</f>
        <v>64.400000000000006</v>
      </c>
      <c r="X3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Row],[Category]],Majorette_Group_TraditionalMajoretteGroup_Children[J4 TOTAL],"&gt;"&amp;Majorette_Group_TraditionalMajoretteGroup_Children[[#This Row],[J4 TOTAL]])+1</f>
        <v>2</v>
      </c>
      <c r="Y3" s="20">
        <v>63.5</v>
      </c>
      <c r="Z3" s="21">
        <v>0</v>
      </c>
      <c r="AA3" s="22">
        <f>Majorette_Group_TraditionalMajoretteGroup_Children[[#This Row],[Judge 5
Barbara Novina]]-Z3</f>
        <v>63.5</v>
      </c>
      <c r="AB3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Row],[Category]],Majorette_Group_TraditionalMajoretteGroup_Children[J5 TOTAL],"&gt;"&amp;Majorette_Group_TraditionalMajoretteGroup_Children[[#This Row],[J5 TOTAL]])+1</f>
        <v>2</v>
      </c>
      <c r="AC3" s="24">
        <f>SUM(Majorette_Group_TraditionalMajoretteGroup_Children[[#This Row],[J1 TOTAL]]+Majorette_Group_TraditionalMajoretteGroup_Children[[#This Row],[J2 TOTAL]]+Majorette_Group_TraditionalMajoretteGroup_Children[[#This Row],[J3 TOTAL]]+Majorette_Group_TraditionalMajoretteGroup_Children[[#This Row],[J4 TOTAL]])+Majorette_Group_TraditionalMajoretteGroup_Children[[#This Row],[J5 TOTAL]]</f>
        <v>322.70000000000005</v>
      </c>
      <c r="AD3" s="24">
        <f>MIN(Majorette_Group_TraditionalMajoretteGroup_Children[[#This Row],[J1 TOTAL]],Majorette_Group_TraditionalMajoretteGroup_Children[[#This Row],[J2 TOTAL]],Majorette_Group_TraditionalMajoretteGroup_Children[[#This Row],[J3 TOTAL]],Majorette_Group_TraditionalMajoretteGroup_Children[[#This Row],[J4 TOTAL]],Majorette_Group_TraditionalMajoretteGroup_Children[[#This Row],[J5 TOTAL]])</f>
        <v>63.5</v>
      </c>
      <c r="AE3" s="24">
        <f>MAX(Majorette_Group_TraditionalMajoretteGroup_Children[[#This Row],[J1 TOTAL]],Majorette_Group_TraditionalMajoretteGroup_Children[[#This Row],[J2 TOTAL]],Majorette_Group_TraditionalMajoretteGroup_Children[[#This Row],[J3 TOTAL]],Majorette_Group_TraditionalMajoretteGroup_Children[[#This Row],[J4 TOTAL]],Majorette_Group_TraditionalMajoretteGroup_Children[[#This Row],[J5 TOTAL]],)</f>
        <v>65.5</v>
      </c>
      <c r="AF3" s="24">
        <f>SUM(Majorette_Group_TraditionalMajoretteGroup_Children[[#This Row],[Total]]-Majorette_Group_TraditionalMajoretteGroup_Children[[#This Row],[Low]]-Majorette_Group_TraditionalMajoretteGroup_Children[[#This Row],[High]])</f>
        <v>193.70000000000005</v>
      </c>
      <c r="AG3" s="24">
        <f>AVERAGE(I3,M3,Q3,U3,Y3)</f>
        <v>64.540000000000006</v>
      </c>
      <c r="AH3" s="25">
        <f>Majorette_Group_TraditionalMajoretteGroup_Children[[#This Row],[Final Total]]</f>
        <v>193.70000000000005</v>
      </c>
      <c r="AI3" s="28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Row],[Category]],Majorette_Group_TraditionalMajoretteGroup_Children[FINAL SCORE],"&gt;"&amp;Majorette_Group_TraditionalMajoretteGroup_Children[[#This Row],[FINAL SCORE]])+1</f>
        <v>2</v>
      </c>
      <c r="AJ3" s="16" t="s">
        <v>26</v>
      </c>
    </row>
    <row r="4" spans="1:55" ht="15.6" x14ac:dyDescent="0.3">
      <c r="A4" s="16">
        <v>2</v>
      </c>
      <c r="B4" s="17"/>
      <c r="C4" s="17" t="s">
        <v>129</v>
      </c>
      <c r="D4" s="17" t="s">
        <v>30</v>
      </c>
      <c r="E4" s="18"/>
      <c r="F4" s="17"/>
      <c r="G4" s="27" t="s">
        <v>24</v>
      </c>
      <c r="H4" s="19" t="s">
        <v>25</v>
      </c>
      <c r="I4" s="20">
        <v>55</v>
      </c>
      <c r="J4" s="21">
        <v>0</v>
      </c>
      <c r="K4" s="22">
        <f>Majorette_Group_TraditionalMajoretteGroup_Children[[#This Row],[Judge 1
Tamara Beljak]]-J4</f>
        <v>55</v>
      </c>
      <c r="L4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Row],[Category]],Majorette_Group_TraditionalMajoretteGroup_Children[J1 TOTAL],"&gt;"&amp;Majorette_Group_TraditionalMajoretteGroup_Children[[#This Row],[J1 TOTAL]])+1</f>
        <v>3</v>
      </c>
      <c r="M4" s="20">
        <v>59.4</v>
      </c>
      <c r="N4" s="21">
        <v>0</v>
      </c>
      <c r="O4" s="22">
        <f>Majorette_Group_TraditionalMajoretteGroup_Children[[#This Row],[Judge 2
Tihomir Bendelja]]-Majorette_Group_TraditionalMajoretteGroup_Children[[#This Row],[J2 (-)]]</f>
        <v>59.4</v>
      </c>
      <c r="P4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Row],[Category]],Majorette_Group_TraditionalMajoretteGroup_Children[J2 TOTAL],"&gt;"&amp;Majorette_Group_TraditionalMajoretteGroup_Children[[#This Row],[J2 TOTAL]])+1</f>
        <v>3</v>
      </c>
      <c r="Q4" s="20">
        <v>62</v>
      </c>
      <c r="R4" s="21">
        <v>0</v>
      </c>
      <c r="S4" s="22">
        <f>Majorette_Group_TraditionalMajoretteGroup_Children[[#This Row],[Judge 3
Tea Softić]]-R4</f>
        <v>62</v>
      </c>
      <c r="T4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Row],[Category]],Majorette_Group_TraditionalMajoretteGroup_Children[J3 TOTAL],"&gt;"&amp;Majorette_Group_TraditionalMajoretteGroup_Children[[#This Row],[J3 TOTAL]])+1</f>
        <v>3</v>
      </c>
      <c r="U4" s="20">
        <v>59.1</v>
      </c>
      <c r="V4" s="21">
        <v>0</v>
      </c>
      <c r="W4" s="22">
        <f>Majorette_Group_TraditionalMajoretteGroup_Children[[#This Row],[Judge 4
Bernard Barač]]-V4</f>
        <v>59.1</v>
      </c>
      <c r="X4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Row],[Category]],Majorette_Group_TraditionalMajoretteGroup_Children[J4 TOTAL],"&gt;"&amp;Majorette_Group_TraditionalMajoretteGroup_Children[[#This Row],[J4 TOTAL]])+1</f>
        <v>3</v>
      </c>
      <c r="Y4" s="20">
        <v>56.5</v>
      </c>
      <c r="Z4" s="21">
        <v>0</v>
      </c>
      <c r="AA4" s="22">
        <f>Majorette_Group_TraditionalMajoretteGroup_Children[[#This Row],[Judge 5
Barbara Novina]]-Z4</f>
        <v>56.5</v>
      </c>
      <c r="AB4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Row],[Category]],Majorette_Group_TraditionalMajoretteGroup_Children[J5 TOTAL],"&gt;"&amp;Majorette_Group_TraditionalMajoretteGroup_Children[[#This Row],[J5 TOTAL]])+1</f>
        <v>4</v>
      </c>
      <c r="AC4" s="24">
        <f>SUM(Majorette_Group_TraditionalMajoretteGroup_Children[[#This Row],[J1 TOTAL]]+Majorette_Group_TraditionalMajoretteGroup_Children[[#This Row],[J2 TOTAL]]+Majorette_Group_TraditionalMajoretteGroup_Children[[#This Row],[J3 TOTAL]]+Majorette_Group_TraditionalMajoretteGroup_Children[[#This Row],[J4 TOTAL]])+Majorette_Group_TraditionalMajoretteGroup_Children[[#This Row],[J5 TOTAL]]</f>
        <v>292</v>
      </c>
      <c r="AD4" s="24">
        <f>MIN(Majorette_Group_TraditionalMajoretteGroup_Children[[#This Row],[J1 TOTAL]],Majorette_Group_TraditionalMajoretteGroup_Children[[#This Row],[J2 TOTAL]],Majorette_Group_TraditionalMajoretteGroup_Children[[#This Row],[J3 TOTAL]],Majorette_Group_TraditionalMajoretteGroup_Children[[#This Row],[J4 TOTAL]],Majorette_Group_TraditionalMajoretteGroup_Children[[#This Row],[J5 TOTAL]])</f>
        <v>55</v>
      </c>
      <c r="AE4" s="24">
        <f>MAX(Majorette_Group_TraditionalMajoretteGroup_Children[[#This Row],[J1 TOTAL]],Majorette_Group_TraditionalMajoretteGroup_Children[[#This Row],[J2 TOTAL]],Majorette_Group_TraditionalMajoretteGroup_Children[[#This Row],[J3 TOTAL]],Majorette_Group_TraditionalMajoretteGroup_Children[[#This Row],[J4 TOTAL]],Majorette_Group_TraditionalMajoretteGroup_Children[[#This Row],[J5 TOTAL]],)</f>
        <v>62</v>
      </c>
      <c r="AF4" s="24">
        <f>SUM(Majorette_Group_TraditionalMajoretteGroup_Children[[#This Row],[Total]]-Majorette_Group_TraditionalMajoretteGroup_Children[[#This Row],[Low]]-Majorette_Group_TraditionalMajoretteGroup_Children[[#This Row],[High]])</f>
        <v>175</v>
      </c>
      <c r="AG4" s="24">
        <f>AVERAGE(I4,M4,Q4,U4,Y4)</f>
        <v>58.4</v>
      </c>
      <c r="AH4" s="25">
        <f>Majorette_Group_TraditionalMajoretteGroup_Children[[#This Row],[Final Total]]</f>
        <v>175</v>
      </c>
      <c r="AI4" s="26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Row],[Category]],Majorette_Group_TraditionalMajoretteGroup_Children[FINAL SCORE],"&gt;"&amp;Majorette_Group_TraditionalMajoretteGroup_Children[[#This Row],[FINAL SCORE]])+1</f>
        <v>3</v>
      </c>
      <c r="AJ4" s="16" t="s">
        <v>26</v>
      </c>
    </row>
    <row r="5" spans="1:55" ht="15.6" x14ac:dyDescent="0.3">
      <c r="A5" s="16">
        <v>4</v>
      </c>
      <c r="B5" s="17"/>
      <c r="C5" s="17" t="s">
        <v>129</v>
      </c>
      <c r="D5" s="17" t="s">
        <v>30</v>
      </c>
      <c r="E5" s="18"/>
      <c r="F5" s="17"/>
      <c r="G5" s="17" t="s">
        <v>128</v>
      </c>
      <c r="H5" s="19" t="s">
        <v>28</v>
      </c>
      <c r="I5" s="20">
        <v>52.5</v>
      </c>
      <c r="J5" s="21">
        <v>0.5</v>
      </c>
      <c r="K5" s="22">
        <f>Majorette_Group_TraditionalMajoretteGroup_Children[[#This Row],[Judge 1
Tamara Beljak]]-J5</f>
        <v>52</v>
      </c>
      <c r="L5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Row],[Category]],Majorette_Group_TraditionalMajoretteGroup_Children[J1 TOTAL],"&gt;"&amp;Majorette_Group_TraditionalMajoretteGroup_Children[[#This Row],[J1 TOTAL]])+1</f>
        <v>4</v>
      </c>
      <c r="M5" s="20">
        <v>58.8</v>
      </c>
      <c r="N5" s="21">
        <v>0.5</v>
      </c>
      <c r="O5" s="22">
        <f>Majorette_Group_TraditionalMajoretteGroup_Children[[#This Row],[Judge 2
Tihomir Bendelja]]-Majorette_Group_TraditionalMajoretteGroup_Children[[#This Row],[J2 (-)]]</f>
        <v>58.3</v>
      </c>
      <c r="P5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Row],[Category]],Majorette_Group_TraditionalMajoretteGroup_Children[J2 TOTAL],"&gt;"&amp;Majorette_Group_TraditionalMajoretteGroup_Children[[#This Row],[J2 TOTAL]])+1</f>
        <v>4</v>
      </c>
      <c r="Q5" s="20">
        <v>61.8</v>
      </c>
      <c r="R5" s="21">
        <v>0.5</v>
      </c>
      <c r="S5" s="22">
        <f>Majorette_Group_TraditionalMajoretteGroup_Children[[#This Row],[Judge 3
Tea Softić]]-R5</f>
        <v>61.3</v>
      </c>
      <c r="T5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Row],[Category]],Majorette_Group_TraditionalMajoretteGroup_Children[J3 TOTAL],"&gt;"&amp;Majorette_Group_TraditionalMajoretteGroup_Children[[#This Row],[J3 TOTAL]])+1</f>
        <v>4</v>
      </c>
      <c r="U5" s="20">
        <v>59.4</v>
      </c>
      <c r="V5" s="21">
        <v>0.5</v>
      </c>
      <c r="W5" s="22">
        <f>Majorette_Group_TraditionalMajoretteGroup_Children[[#This Row],[Judge 4
Bernard Barač]]-V5</f>
        <v>58.9</v>
      </c>
      <c r="X5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Row],[Category]],Majorette_Group_TraditionalMajoretteGroup_Children[J4 TOTAL],"&gt;"&amp;Majorette_Group_TraditionalMajoretteGroup_Children[[#This Row],[J4 TOTAL]])+1</f>
        <v>4</v>
      </c>
      <c r="Y5" s="20">
        <v>57.2</v>
      </c>
      <c r="Z5" s="21">
        <v>0.5</v>
      </c>
      <c r="AA5" s="22">
        <f>Majorette_Group_TraditionalMajoretteGroup_Children[[#This Row],[Judge 5
Barbara Novina]]-Z5</f>
        <v>56.7</v>
      </c>
      <c r="AB5" s="23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Row],[Category]],Majorette_Group_TraditionalMajoretteGroup_Children[J5 TOTAL],"&gt;"&amp;Majorette_Group_TraditionalMajoretteGroup_Children[[#This Row],[J5 TOTAL]])+1</f>
        <v>3</v>
      </c>
      <c r="AC5" s="24">
        <f>SUM(Majorette_Group_TraditionalMajoretteGroup_Children[[#This Row],[J1 TOTAL]]+Majorette_Group_TraditionalMajoretteGroup_Children[[#This Row],[J2 TOTAL]]+Majorette_Group_TraditionalMajoretteGroup_Children[[#This Row],[J3 TOTAL]]+Majorette_Group_TraditionalMajoretteGroup_Children[[#This Row],[J4 TOTAL]])+Majorette_Group_TraditionalMajoretteGroup_Children[[#This Row],[J5 TOTAL]]</f>
        <v>287.2</v>
      </c>
      <c r="AD5" s="24">
        <f>MIN(Majorette_Group_TraditionalMajoretteGroup_Children[[#This Row],[J1 TOTAL]],Majorette_Group_TraditionalMajoretteGroup_Children[[#This Row],[J2 TOTAL]],Majorette_Group_TraditionalMajoretteGroup_Children[[#This Row],[J3 TOTAL]],Majorette_Group_TraditionalMajoretteGroup_Children[[#This Row],[J4 TOTAL]],Majorette_Group_TraditionalMajoretteGroup_Children[[#This Row],[J5 TOTAL]])</f>
        <v>52</v>
      </c>
      <c r="AE5" s="24">
        <f>MAX(Majorette_Group_TraditionalMajoretteGroup_Children[[#This Row],[J1 TOTAL]],Majorette_Group_TraditionalMajoretteGroup_Children[[#This Row],[J2 TOTAL]],Majorette_Group_TraditionalMajoretteGroup_Children[[#This Row],[J3 TOTAL]],Majorette_Group_TraditionalMajoretteGroup_Children[[#This Row],[J4 TOTAL]],Majorette_Group_TraditionalMajoretteGroup_Children[[#This Row],[J5 TOTAL]],)</f>
        <v>61.3</v>
      </c>
      <c r="AF5" s="24">
        <f>SUM(Majorette_Group_TraditionalMajoretteGroup_Children[[#This Row],[Total]]-Majorette_Group_TraditionalMajoretteGroup_Children[[#This Row],[Low]]-Majorette_Group_TraditionalMajoretteGroup_Children[[#This Row],[High]])</f>
        <v>173.89999999999998</v>
      </c>
      <c r="AG5" s="24">
        <f>AVERAGE(I5,M5,Q5,U5,Y5)</f>
        <v>57.94</v>
      </c>
      <c r="AH5" s="25">
        <f>Majorette_Group_TraditionalMajoretteGroup_Children[[#This Row],[Final Total]]</f>
        <v>173.89999999999998</v>
      </c>
      <c r="AI5" s="26">
        <f>COUNTIFS(Majorette_Group_TraditionalMajoretteGroup_Children[Age
Division],Majorette_Group_TraditionalMajoretteGroup_Children[[#This Row],[Age
Division]],Majorette_Group_TraditionalMajoretteGroup_Children[Category],Majorette_Group_TraditionalMajoretteGroup_Children[[#This Row],[Category]],Majorette_Group_TraditionalMajoretteGroup_Children[FINAL SCORE],"&gt;"&amp;Majorette_Group_TraditionalMajoretteGroup_Children[[#This Row],[FINAL SCORE]])+1</f>
        <v>4</v>
      </c>
      <c r="AJ5" s="16" t="s">
        <v>26</v>
      </c>
    </row>
  </sheetData>
  <sheetProtection algorithmName="SHA-512" hashValue="mSWzT+5uWAAkVPJN+LEJrYKCQf/LfqPoHQGBSYsLHRiezuDkVQTFZPSBVMqok9iSVXdEMmX3CbsppdXR3pY+Kw==" saltValue="/MirgBYtey1NqhSukGfcYQ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AB3B-B9DD-4EE7-85B6-4377327DDC05}">
  <dimension ref="A1:BC4"/>
  <sheetViews>
    <sheetView zoomScale="80" zoomScaleNormal="80" workbookViewId="0">
      <pane xSplit="8" topLeftCell="I1" activePane="topRight" state="frozen"/>
      <selection activeCell="R26" sqref="R26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22.109375" style="29" customWidth="1"/>
    <col min="4" max="4" width="12.5546875" style="30" customWidth="1"/>
    <col min="5" max="5" width="16.33203125" style="30" hidden="1" customWidth="1"/>
    <col min="6" max="6" width="26.5546875" style="19" hidden="1" customWidth="1"/>
    <col min="7" max="7" width="52.5546875" style="19" customWidth="1"/>
    <col min="8" max="8" width="14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7</v>
      </c>
      <c r="B2" s="17"/>
      <c r="C2" s="17" t="s">
        <v>129</v>
      </c>
      <c r="D2" s="17" t="s">
        <v>23</v>
      </c>
      <c r="E2" s="18"/>
      <c r="F2" s="17"/>
      <c r="G2" s="17" t="s">
        <v>83</v>
      </c>
      <c r="H2" s="19" t="s">
        <v>28</v>
      </c>
      <c r="I2" s="20">
        <v>86.1</v>
      </c>
      <c r="J2" s="21">
        <v>0</v>
      </c>
      <c r="K2" s="22">
        <f>Majorette_Group_TraditionalMajoretteGroup_Cadet[[#This Row],[Judge 1
Tamara Beljak]]-J2</f>
        <v>86.1</v>
      </c>
      <c r="L2" s="23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Row],[Category]],Majorette_Group_TraditionalMajoretteGroup_Cadet[J1 TOTAL],"&gt;"&amp;Majorette_Group_TraditionalMajoretteGroup_Cadet[[#This Row],[J1 TOTAL]])+1</f>
        <v>1</v>
      </c>
      <c r="M2" s="20">
        <v>80.400000000000006</v>
      </c>
      <c r="N2" s="21">
        <v>0</v>
      </c>
      <c r="O2" s="22">
        <f>Majorette_Group_TraditionalMajoretteGroup_Cadet[[#This Row],[Judge 2
Tihomir Bendelja]]-Majorette_Group_TraditionalMajoretteGroup_Cadet[[#This Row],[J2 (-)]]</f>
        <v>80.400000000000006</v>
      </c>
      <c r="P2" s="23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Row],[Category]],Majorette_Group_TraditionalMajoretteGroup_Cadet[J2 TOTAL],"&gt;"&amp;Majorette_Group_TraditionalMajoretteGroup_Cadet[[#This Row],[J2 TOTAL]])+1</f>
        <v>1</v>
      </c>
      <c r="Q2" s="20">
        <v>84.4</v>
      </c>
      <c r="R2" s="21">
        <v>0</v>
      </c>
      <c r="S2" s="22">
        <f>Majorette_Group_TraditionalMajoretteGroup_Cadet[[#This Row],[Judge 3
Tea Softić]]-R2</f>
        <v>84.4</v>
      </c>
      <c r="T2" s="23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Row],[Category]],Majorette_Group_TraditionalMajoretteGroup_Cadet[J3 TOTAL],"&gt;"&amp;Majorette_Group_TraditionalMajoretteGroup_Cadet[[#This Row],[J3 TOTAL]])+1</f>
        <v>1</v>
      </c>
      <c r="U2" s="20">
        <v>81.3</v>
      </c>
      <c r="V2" s="21">
        <v>0</v>
      </c>
      <c r="W2" s="22">
        <f>Majorette_Group_TraditionalMajoretteGroup_Cadet[[#This Row],[Judge 4
Bernard Barač]]-V2</f>
        <v>81.3</v>
      </c>
      <c r="X2" s="23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Row],[Category]],Majorette_Group_TraditionalMajoretteGroup_Cadet[J4 TOTAL],"&gt;"&amp;Majorette_Group_TraditionalMajoretteGroup_Cadet[[#This Row],[J4 TOTAL]])+1</f>
        <v>1</v>
      </c>
      <c r="Y2" s="20">
        <v>78.5</v>
      </c>
      <c r="Z2" s="21">
        <v>0</v>
      </c>
      <c r="AA2" s="22">
        <f>Majorette_Group_TraditionalMajoretteGroup_Cadet[[#This Row],[Judge 5
Barbara Novina]]-Z2</f>
        <v>78.5</v>
      </c>
      <c r="AB2" s="23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Row],[Category]],Majorette_Group_TraditionalMajoretteGroup_Cadet[J5 TOTAL],"&gt;"&amp;Majorette_Group_TraditionalMajoretteGroup_Cadet[[#This Row],[J5 TOTAL]])+1</f>
        <v>1</v>
      </c>
      <c r="AC2" s="24">
        <f>SUM(Majorette_Group_TraditionalMajoretteGroup_Cadet[[#This Row],[J1 TOTAL]]+Majorette_Group_TraditionalMajoretteGroup_Cadet[[#This Row],[J2 TOTAL]]+Majorette_Group_TraditionalMajoretteGroup_Cadet[[#This Row],[J3 TOTAL]]+Majorette_Group_TraditionalMajoretteGroup_Cadet[[#This Row],[J4 TOTAL]])+Majorette_Group_TraditionalMajoretteGroup_Cadet[[#This Row],[J5 TOTAL]]</f>
        <v>410.7</v>
      </c>
      <c r="AD2" s="24">
        <f>MIN(Majorette_Group_TraditionalMajoretteGroup_Cadet[[#This Row],[J1 TOTAL]],Majorette_Group_TraditionalMajoretteGroup_Cadet[[#This Row],[J2 TOTAL]],Majorette_Group_TraditionalMajoretteGroup_Cadet[[#This Row],[J3 TOTAL]],Majorette_Group_TraditionalMajoretteGroup_Cadet[[#This Row],[J4 TOTAL]],Majorette_Group_TraditionalMajoretteGroup_Cadet[[#This Row],[J5 TOTAL]])</f>
        <v>78.5</v>
      </c>
      <c r="AE2" s="24">
        <f>MAX(Majorette_Group_TraditionalMajoretteGroup_Cadet[[#This Row],[J1 TOTAL]],Majorette_Group_TraditionalMajoretteGroup_Cadet[[#This Row],[J2 TOTAL]],Majorette_Group_TraditionalMajoretteGroup_Cadet[[#This Row],[J3 TOTAL]],Majorette_Group_TraditionalMajoretteGroup_Cadet[[#This Row],[J4 TOTAL]],Majorette_Group_TraditionalMajoretteGroup_Cadet[[#This Row],[J5 TOTAL]],)</f>
        <v>86.1</v>
      </c>
      <c r="AF2" s="24">
        <f>SUM(Majorette_Group_TraditionalMajoretteGroup_Cadet[[#This Row],[Total]]-Majorette_Group_TraditionalMajoretteGroup_Cadet[[#This Row],[Low]]-Majorette_Group_TraditionalMajoretteGroup_Cadet[[#This Row],[High]])</f>
        <v>246.1</v>
      </c>
      <c r="AG2" s="24">
        <f>AVERAGE(I2,M2,Q2,U2,Y2)</f>
        <v>82.14</v>
      </c>
      <c r="AH2" s="25">
        <f>Majorette_Group_TraditionalMajoretteGroup_Cadet[[#This Row],[Final Total]]</f>
        <v>246.1</v>
      </c>
      <c r="AI2" s="26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Row],[Category]],Majorette_Group_TraditionalMajoretteGroup_Cadet[FINAL SCORE],"&gt;"&amp;Majorette_Group_TraditionalMajoretteGroup_Cadet[[#This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8</v>
      </c>
      <c r="B3" s="17"/>
      <c r="C3" s="17" t="s">
        <v>129</v>
      </c>
      <c r="D3" s="17" t="s">
        <v>23</v>
      </c>
      <c r="E3" s="18"/>
      <c r="F3" s="17"/>
      <c r="G3" s="17" t="s">
        <v>128</v>
      </c>
      <c r="H3" s="19" t="s">
        <v>28</v>
      </c>
      <c r="I3" s="20">
        <v>71.5</v>
      </c>
      <c r="J3" s="21">
        <v>0.5</v>
      </c>
      <c r="K3" s="22">
        <f>Majorette_Group_TraditionalMajoretteGroup_Cadet[[#This Row],[Judge 1
Tamara Beljak]]-J3</f>
        <v>71</v>
      </c>
      <c r="L3" s="23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Row],[Category]],Majorette_Group_TraditionalMajoretteGroup_Cadet[J1 TOTAL],"&gt;"&amp;Majorette_Group_TraditionalMajoretteGroup_Cadet[[#This Row],[J1 TOTAL]])+1</f>
        <v>2</v>
      </c>
      <c r="M3" s="20">
        <v>68.400000000000006</v>
      </c>
      <c r="N3" s="21">
        <v>1</v>
      </c>
      <c r="O3" s="22">
        <f>Majorette_Group_TraditionalMajoretteGroup_Cadet[[#This Row],[Judge 2
Tihomir Bendelja]]-Majorette_Group_TraditionalMajoretteGroup_Cadet[[#This Row],[J2 (-)]]</f>
        <v>67.400000000000006</v>
      </c>
      <c r="P3" s="23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Row],[Category]],Majorette_Group_TraditionalMajoretteGroup_Cadet[J2 TOTAL],"&gt;"&amp;Majorette_Group_TraditionalMajoretteGroup_Cadet[[#This Row],[J2 TOTAL]])+1</f>
        <v>2</v>
      </c>
      <c r="Q3" s="20">
        <v>72.3</v>
      </c>
      <c r="R3" s="21">
        <v>1</v>
      </c>
      <c r="S3" s="22">
        <f>Majorette_Group_TraditionalMajoretteGroup_Cadet[[#This Row],[Judge 3
Tea Softić]]-R3</f>
        <v>71.3</v>
      </c>
      <c r="T3" s="23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Row],[Category]],Majorette_Group_TraditionalMajoretteGroup_Cadet[J3 TOTAL],"&gt;"&amp;Majorette_Group_TraditionalMajoretteGroup_Cadet[[#This Row],[J3 TOTAL]])+1</f>
        <v>2</v>
      </c>
      <c r="U3" s="20">
        <v>67.599999999999994</v>
      </c>
      <c r="V3" s="21">
        <v>1</v>
      </c>
      <c r="W3" s="22">
        <f>Majorette_Group_TraditionalMajoretteGroup_Cadet[[#This Row],[Judge 4
Bernard Barač]]-V3</f>
        <v>66.599999999999994</v>
      </c>
      <c r="X3" s="23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Row],[Category]],Majorette_Group_TraditionalMajoretteGroup_Cadet[J4 TOTAL],"&gt;"&amp;Majorette_Group_TraditionalMajoretteGroup_Cadet[[#This Row],[J4 TOTAL]])+1</f>
        <v>2</v>
      </c>
      <c r="Y3" s="20">
        <v>75.3</v>
      </c>
      <c r="Z3" s="21">
        <v>1</v>
      </c>
      <c r="AA3" s="22">
        <f>Majorette_Group_TraditionalMajoretteGroup_Cadet[[#This Row],[Judge 5
Barbara Novina]]-Z3</f>
        <v>74.3</v>
      </c>
      <c r="AB3" s="23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Row],[Category]],Majorette_Group_TraditionalMajoretteGroup_Cadet[J5 TOTAL],"&gt;"&amp;Majorette_Group_TraditionalMajoretteGroup_Cadet[[#This Row],[J5 TOTAL]])+1</f>
        <v>2</v>
      </c>
      <c r="AC3" s="24">
        <f>SUM(Majorette_Group_TraditionalMajoretteGroup_Cadet[[#This Row],[J1 TOTAL]]+Majorette_Group_TraditionalMajoretteGroup_Cadet[[#This Row],[J2 TOTAL]]+Majorette_Group_TraditionalMajoretteGroup_Cadet[[#This Row],[J3 TOTAL]]+Majorette_Group_TraditionalMajoretteGroup_Cadet[[#This Row],[J4 TOTAL]])+Majorette_Group_TraditionalMajoretteGroup_Cadet[[#This Row],[J5 TOTAL]]</f>
        <v>350.59999999999997</v>
      </c>
      <c r="AD3" s="24">
        <f>MIN(Majorette_Group_TraditionalMajoretteGroup_Cadet[[#This Row],[J1 TOTAL]],Majorette_Group_TraditionalMajoretteGroup_Cadet[[#This Row],[J2 TOTAL]],Majorette_Group_TraditionalMajoretteGroup_Cadet[[#This Row],[J3 TOTAL]],Majorette_Group_TraditionalMajoretteGroup_Cadet[[#This Row],[J4 TOTAL]],Majorette_Group_TraditionalMajoretteGroup_Cadet[[#This Row],[J5 TOTAL]])</f>
        <v>66.599999999999994</v>
      </c>
      <c r="AE3" s="24">
        <f>MAX(Majorette_Group_TraditionalMajoretteGroup_Cadet[[#This Row],[J1 TOTAL]],Majorette_Group_TraditionalMajoretteGroup_Cadet[[#This Row],[J2 TOTAL]],Majorette_Group_TraditionalMajoretteGroup_Cadet[[#This Row],[J3 TOTAL]],Majorette_Group_TraditionalMajoretteGroup_Cadet[[#This Row],[J4 TOTAL]],Majorette_Group_TraditionalMajoretteGroup_Cadet[[#This Row],[J5 TOTAL]],)</f>
        <v>74.3</v>
      </c>
      <c r="AF3" s="24">
        <f>SUM(Majorette_Group_TraditionalMajoretteGroup_Cadet[[#This Row],[Total]]-Majorette_Group_TraditionalMajoretteGroup_Cadet[[#This Row],[Low]]-Majorette_Group_TraditionalMajoretteGroup_Cadet[[#This Row],[High]])</f>
        <v>209.7</v>
      </c>
      <c r="AG3" s="24">
        <f>AVERAGE(I3,M3,Q3,U3,Y3)</f>
        <v>71.02</v>
      </c>
      <c r="AH3" s="25">
        <f>Majorette_Group_TraditionalMajoretteGroup_Cadet[[#This Row],[Final Total]]</f>
        <v>209.7</v>
      </c>
      <c r="AI3" s="26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Row],[Category]],Majorette_Group_TraditionalMajoretteGroup_Cadet[FINAL SCORE],"&gt;"&amp;Majorette_Group_TraditionalMajoretteGroup_Cadet[[#This Row],[FINAL SCORE]])+1</f>
        <v>2</v>
      </c>
      <c r="AJ3" s="16" t="s">
        <v>26</v>
      </c>
    </row>
    <row r="4" spans="1:55" ht="15.6" x14ac:dyDescent="0.3">
      <c r="A4" s="16">
        <v>6</v>
      </c>
      <c r="B4" s="17"/>
      <c r="C4" s="17" t="s">
        <v>129</v>
      </c>
      <c r="D4" s="17" t="s">
        <v>23</v>
      </c>
      <c r="E4" s="17"/>
      <c r="F4" s="17"/>
      <c r="G4" s="17" t="s">
        <v>24</v>
      </c>
      <c r="H4" s="19" t="s">
        <v>25</v>
      </c>
      <c r="I4" s="20">
        <v>65.5</v>
      </c>
      <c r="J4" s="21">
        <v>0</v>
      </c>
      <c r="K4" s="22">
        <f>Majorette_Group_TraditionalMajoretteGroup_Cadet[[#This Row],[Judge 1
Tamara Beljak]]-J4</f>
        <v>65.5</v>
      </c>
      <c r="L4" s="23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Row],[Category]],Majorette_Group_TraditionalMajoretteGroup_Cadet[J1 TOTAL],"&gt;"&amp;Majorette_Group_TraditionalMajoretteGroup_Cadet[[#This Row],[J1 TOTAL]])+1</f>
        <v>3</v>
      </c>
      <c r="M4" s="20">
        <v>66.900000000000006</v>
      </c>
      <c r="N4" s="21">
        <v>0</v>
      </c>
      <c r="O4" s="22">
        <f>Majorette_Group_TraditionalMajoretteGroup_Cadet[[#This Row],[Judge 2
Tihomir Bendelja]]-Majorette_Group_TraditionalMajoretteGroup_Cadet[[#This Row],[J2 (-)]]</f>
        <v>66.900000000000006</v>
      </c>
      <c r="P4" s="23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Row],[Category]],Majorette_Group_TraditionalMajoretteGroup_Cadet[J2 TOTAL],"&gt;"&amp;Majorette_Group_TraditionalMajoretteGroup_Cadet[[#This Row],[J2 TOTAL]])+1</f>
        <v>3</v>
      </c>
      <c r="Q4" s="20">
        <v>68.099999999999994</v>
      </c>
      <c r="R4" s="21">
        <v>0</v>
      </c>
      <c r="S4" s="22">
        <f>Majorette_Group_TraditionalMajoretteGroup_Cadet[[#This Row],[Judge 3
Tea Softić]]-R4</f>
        <v>68.099999999999994</v>
      </c>
      <c r="T4" s="23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Row],[Category]],Majorette_Group_TraditionalMajoretteGroup_Cadet[J3 TOTAL],"&gt;"&amp;Majorette_Group_TraditionalMajoretteGroup_Cadet[[#This Row],[J3 TOTAL]])+1</f>
        <v>3</v>
      </c>
      <c r="U4" s="20">
        <v>61.1</v>
      </c>
      <c r="V4" s="21">
        <v>0</v>
      </c>
      <c r="W4" s="22">
        <f>Majorette_Group_TraditionalMajoretteGroup_Cadet[[#This Row],[Judge 4
Bernard Barač]]-V4</f>
        <v>61.1</v>
      </c>
      <c r="X4" s="23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Row],[Category]],Majorette_Group_TraditionalMajoretteGroup_Cadet[J4 TOTAL],"&gt;"&amp;Majorette_Group_TraditionalMajoretteGroup_Cadet[[#This Row],[J4 TOTAL]])+1</f>
        <v>3</v>
      </c>
      <c r="Y4" s="20">
        <v>62.5</v>
      </c>
      <c r="Z4" s="21">
        <v>0</v>
      </c>
      <c r="AA4" s="22">
        <f>Majorette_Group_TraditionalMajoretteGroup_Cadet[[#This Row],[Judge 5
Barbara Novina]]-Z4</f>
        <v>62.5</v>
      </c>
      <c r="AB4" s="23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Row],[Category]],Majorette_Group_TraditionalMajoretteGroup_Cadet[J5 TOTAL],"&gt;"&amp;Majorette_Group_TraditionalMajoretteGroup_Cadet[[#This Row],[J5 TOTAL]])+1</f>
        <v>3</v>
      </c>
      <c r="AC4" s="24">
        <f>SUM(Majorette_Group_TraditionalMajoretteGroup_Cadet[[#This Row],[J1 TOTAL]]+Majorette_Group_TraditionalMajoretteGroup_Cadet[[#This Row],[J2 TOTAL]]+Majorette_Group_TraditionalMajoretteGroup_Cadet[[#This Row],[J3 TOTAL]]+Majorette_Group_TraditionalMajoretteGroup_Cadet[[#This Row],[J4 TOTAL]])+Majorette_Group_TraditionalMajoretteGroup_Cadet[[#This Row],[J5 TOTAL]]</f>
        <v>324.10000000000002</v>
      </c>
      <c r="AD4" s="24">
        <f>MIN(Majorette_Group_TraditionalMajoretteGroup_Cadet[[#This Row],[J1 TOTAL]],Majorette_Group_TraditionalMajoretteGroup_Cadet[[#This Row],[J2 TOTAL]],Majorette_Group_TraditionalMajoretteGroup_Cadet[[#This Row],[J3 TOTAL]],Majorette_Group_TraditionalMajoretteGroup_Cadet[[#This Row],[J4 TOTAL]],Majorette_Group_TraditionalMajoretteGroup_Cadet[[#This Row],[J5 TOTAL]])</f>
        <v>61.1</v>
      </c>
      <c r="AE4" s="24">
        <f>MAX(Majorette_Group_TraditionalMajoretteGroup_Cadet[[#This Row],[J1 TOTAL]],Majorette_Group_TraditionalMajoretteGroup_Cadet[[#This Row],[J2 TOTAL]],Majorette_Group_TraditionalMajoretteGroup_Cadet[[#This Row],[J3 TOTAL]],Majorette_Group_TraditionalMajoretteGroup_Cadet[[#This Row],[J4 TOTAL]],Majorette_Group_TraditionalMajoretteGroup_Cadet[[#This Row],[J5 TOTAL]],)</f>
        <v>68.099999999999994</v>
      </c>
      <c r="AF4" s="24">
        <f>SUM(Majorette_Group_TraditionalMajoretteGroup_Cadet[[#This Row],[Total]]-Majorette_Group_TraditionalMajoretteGroup_Cadet[[#This Row],[Low]]-Majorette_Group_TraditionalMajoretteGroup_Cadet[[#This Row],[High]])</f>
        <v>194.9</v>
      </c>
      <c r="AG4" s="24">
        <f>AVERAGE(I4,M4,Q4,U4,Y4)</f>
        <v>64.820000000000007</v>
      </c>
      <c r="AH4" s="25">
        <f>Majorette_Group_TraditionalMajoretteGroup_Cadet[[#This Row],[Final Total]]</f>
        <v>194.9</v>
      </c>
      <c r="AI4" s="28">
        <f>COUNTIFS(Majorette_Group_TraditionalMajoretteGroup_Cadet[Age
Division],Majorette_Group_TraditionalMajoretteGroup_Cadet[[#This Row],[Age
Division]],Majorette_Group_TraditionalMajoretteGroup_Cadet[Category],Majorette_Group_TraditionalMajoretteGroup_Cadet[[#This Row],[Category]],Majorette_Group_TraditionalMajoretteGroup_Cadet[FINAL SCORE],"&gt;"&amp;Majorette_Group_TraditionalMajoretteGroup_Cadet[[#This Row],[FINAL SCORE]])+1</f>
        <v>3</v>
      </c>
      <c r="AJ4" s="16" t="s">
        <v>26</v>
      </c>
    </row>
  </sheetData>
  <sheetProtection algorithmName="SHA-512" hashValue="aDtZnKESbMFOpJXxEJs1kD75xGapluhAg5XTtAmTbExmmZOvBsEhBYFts92vPzRPUFLMn0jZaqrZU8/+QvZkXQ==" saltValue="Vbm+Eubi0nwntR5yKo1W6g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90159-FE7D-4926-94A3-9480E2792D85}">
  <dimension ref="A1:BC3"/>
  <sheetViews>
    <sheetView zoomScale="80" zoomScaleNormal="80" workbookViewId="0">
      <pane xSplit="8" topLeftCell="I1" activePane="topRight" state="frozen"/>
      <selection activeCell="R26" sqref="R26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22.109375" style="29" customWidth="1"/>
    <col min="4" max="4" width="12.5546875" style="30" customWidth="1"/>
    <col min="5" max="5" width="16.33203125" style="30" hidden="1" customWidth="1"/>
    <col min="6" max="6" width="26.5546875" style="19" hidden="1" customWidth="1"/>
    <col min="7" max="7" width="39.44140625" style="19" customWidth="1"/>
    <col min="8" max="8" width="14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10</v>
      </c>
      <c r="B2" s="17"/>
      <c r="C2" s="17" t="s">
        <v>130</v>
      </c>
      <c r="D2" s="17" t="s">
        <v>23</v>
      </c>
      <c r="E2" s="18"/>
      <c r="F2" s="17"/>
      <c r="G2" s="17" t="s">
        <v>31</v>
      </c>
      <c r="H2" s="19" t="s">
        <v>25</v>
      </c>
      <c r="I2" s="20">
        <v>65</v>
      </c>
      <c r="J2" s="21">
        <v>2.5</v>
      </c>
      <c r="K2" s="22">
        <f>Majorette_Group_ModernMajoretteTeam_Cadet[[#This Row],[Judge 1
Tamara Beljak]]-J2</f>
        <v>62.5</v>
      </c>
      <c r="L2" s="23">
        <f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Row],[Category]],Majorette_Group_ModernMajoretteTeam_Cadet[J1 TOTAL],"&gt;"&amp;Majorette_Group_ModernMajoretteTeam_Cadet[[#This Row],[J1 TOTAL]])+1</f>
        <v>1</v>
      </c>
      <c r="M2" s="20">
        <v>67.099999999999994</v>
      </c>
      <c r="N2" s="21">
        <v>3</v>
      </c>
      <c r="O2" s="22">
        <f>Majorette_Group_ModernMajoretteTeam_Cadet[[#This Row],[Judge 2
Tihomir Bendelja]]-Majorette_Group_ModernMajoretteTeam_Cadet[[#This Row],[J2 (-)]]</f>
        <v>64.099999999999994</v>
      </c>
      <c r="P2" s="23">
        <f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Row],[Category]],Majorette_Group_ModernMajoretteTeam_Cadet[J2 TOTAL],"&gt;"&amp;Majorette_Group_ModernMajoretteTeam_Cadet[[#This Row],[J2 TOTAL]])+1</f>
        <v>1</v>
      </c>
      <c r="Q2" s="20">
        <v>66.8</v>
      </c>
      <c r="R2" s="21">
        <v>2.5</v>
      </c>
      <c r="S2" s="22">
        <f>Majorette_Group_ModernMajoretteTeam_Cadet[[#This Row],[Judge 3
Tea Softić]]-R2</f>
        <v>64.3</v>
      </c>
      <c r="T2" s="23">
        <f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Row],[Category]],Majorette_Group_ModernMajoretteTeam_Cadet[J3 TOTAL],"&gt;"&amp;Majorette_Group_ModernMajoretteTeam_Cadet[[#This Row],[J3 TOTAL]])+1</f>
        <v>1</v>
      </c>
      <c r="U2" s="20">
        <v>61.2</v>
      </c>
      <c r="V2" s="21">
        <v>3</v>
      </c>
      <c r="W2" s="22">
        <f>Majorette_Group_ModernMajoretteTeam_Cadet[[#This Row],[Judge 4
Bernard Barač]]-V2</f>
        <v>58.2</v>
      </c>
      <c r="X2" s="23">
        <f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Row],[Category]],Majorette_Group_ModernMajoretteTeam_Cadet[J4 TOTAL],"&gt;"&amp;Majorette_Group_ModernMajoretteTeam_Cadet[[#This Row],[J4 TOTAL]])+1</f>
        <v>1</v>
      </c>
      <c r="Y2" s="20">
        <v>60.8</v>
      </c>
      <c r="Z2" s="21">
        <v>3</v>
      </c>
      <c r="AA2" s="22">
        <f>Majorette_Group_ModernMajoretteTeam_Cadet[[#This Row],[Judge 5
Barbara Novina]]-Z2</f>
        <v>57.8</v>
      </c>
      <c r="AB2" s="23">
        <f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Row],[Category]],Majorette_Group_ModernMajoretteTeam_Cadet[J5 TOTAL],"&gt;"&amp;Majorette_Group_ModernMajoretteTeam_Cadet[[#This Row],[J5 TOTAL]])+1</f>
        <v>1</v>
      </c>
      <c r="AC2" s="24">
        <f>SUM(Majorette_Group_ModernMajoretteTeam_Cadet[[#This Row],[J1 TOTAL]]+Majorette_Group_ModernMajoretteTeam_Cadet[[#This Row],[J2 TOTAL]]+Majorette_Group_ModernMajoretteTeam_Cadet[[#This Row],[J3 TOTAL]]+Majorette_Group_ModernMajoretteTeam_Cadet[[#This Row],[J4 TOTAL]])+Majorette_Group_ModernMajoretteTeam_Cadet[[#This Row],[J5 TOTAL]]</f>
        <v>306.89999999999998</v>
      </c>
      <c r="AD2" s="24">
        <f>MIN(Majorette_Group_ModernMajoretteTeam_Cadet[[#This Row],[J1 TOTAL]],Majorette_Group_ModernMajoretteTeam_Cadet[[#This Row],[J2 TOTAL]],Majorette_Group_ModernMajoretteTeam_Cadet[[#This Row],[J3 TOTAL]],Majorette_Group_ModernMajoretteTeam_Cadet[[#This Row],[J4 TOTAL]],Majorette_Group_ModernMajoretteTeam_Cadet[[#This Row],[J5 TOTAL]])</f>
        <v>57.8</v>
      </c>
      <c r="AE2" s="24">
        <f>MAX(Majorette_Group_ModernMajoretteTeam_Cadet[[#This Row],[J1 TOTAL]],Majorette_Group_ModernMajoretteTeam_Cadet[[#This Row],[J2 TOTAL]],Majorette_Group_ModernMajoretteTeam_Cadet[[#This Row],[J3 TOTAL]],Majorette_Group_ModernMajoretteTeam_Cadet[[#This Row],[J4 TOTAL]],Majorette_Group_ModernMajoretteTeam_Cadet[[#This Row],[J5 TOTAL]],)</f>
        <v>64.3</v>
      </c>
      <c r="AF2" s="24">
        <f>SUM(Majorette_Group_ModernMajoretteTeam_Cadet[[#This Row],[Total]]-Majorette_Group_ModernMajoretteTeam_Cadet[[#This Row],[Low]]-Majorette_Group_ModernMajoretteTeam_Cadet[[#This Row],[High]])</f>
        <v>184.79999999999995</v>
      </c>
      <c r="AG2" s="24">
        <f>AVERAGE(I2,M2,Q2,U2,Y2)</f>
        <v>64.179999999999993</v>
      </c>
      <c r="AH2" s="25">
        <f>Majorette_Group_ModernMajoretteTeam_Cadet[[#This Row],[Final Total]]</f>
        <v>184.79999999999995</v>
      </c>
      <c r="AI2" s="26">
        <f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Row],[Category]],Majorette_Group_ModernMajoretteTeam_Cadet[FINAL SCORE],"&gt;"&amp;Majorette_Group_ModernMajoretteTeam_Cadet[[#This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9</v>
      </c>
      <c r="B3" s="17"/>
      <c r="C3" s="17" t="s">
        <v>130</v>
      </c>
      <c r="D3" s="17" t="s">
        <v>23</v>
      </c>
      <c r="E3" s="17"/>
      <c r="F3" s="17"/>
      <c r="G3" s="17" t="s">
        <v>73</v>
      </c>
      <c r="H3" s="19" t="s">
        <v>25</v>
      </c>
      <c r="I3" s="20">
        <v>51.5</v>
      </c>
      <c r="J3" s="21">
        <v>5.5</v>
      </c>
      <c r="K3" s="22">
        <f>Majorette_Group_ModernMajoretteTeam_Cadet[[#This Row],[Judge 1
Tamara Beljak]]-J3</f>
        <v>46</v>
      </c>
      <c r="L3" s="23">
        <f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Row],[Category]],Majorette_Group_ModernMajoretteTeam_Cadet[J1 TOTAL],"&gt;"&amp;Majorette_Group_ModernMajoretteTeam_Cadet[[#This Row],[J1 TOTAL]])+1</f>
        <v>2</v>
      </c>
      <c r="M3" s="20">
        <v>63.2</v>
      </c>
      <c r="N3" s="21">
        <v>5.5</v>
      </c>
      <c r="O3" s="22">
        <f>Majorette_Group_ModernMajoretteTeam_Cadet[[#This Row],[Judge 2
Tihomir Bendelja]]-Majorette_Group_ModernMajoretteTeam_Cadet[[#This Row],[J2 (-)]]</f>
        <v>57.7</v>
      </c>
      <c r="P3" s="23">
        <f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Row],[Category]],Majorette_Group_ModernMajoretteTeam_Cadet[J2 TOTAL],"&gt;"&amp;Majorette_Group_ModernMajoretteTeam_Cadet[[#This Row],[J2 TOTAL]])+1</f>
        <v>2</v>
      </c>
      <c r="Q3" s="20">
        <v>64.900000000000006</v>
      </c>
      <c r="R3" s="21">
        <v>5.5</v>
      </c>
      <c r="S3" s="22">
        <f>Majorette_Group_ModernMajoretteTeam_Cadet[[#This Row],[Judge 3
Tea Softić]]-R3</f>
        <v>59.400000000000006</v>
      </c>
      <c r="T3" s="23">
        <f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Row],[Category]],Majorette_Group_ModernMajoretteTeam_Cadet[J3 TOTAL],"&gt;"&amp;Majorette_Group_ModernMajoretteTeam_Cadet[[#This Row],[J3 TOTAL]])+1</f>
        <v>2</v>
      </c>
      <c r="U3" s="20">
        <v>60.4</v>
      </c>
      <c r="V3" s="21">
        <v>4.5</v>
      </c>
      <c r="W3" s="22">
        <f>Majorette_Group_ModernMajoretteTeam_Cadet[[#This Row],[Judge 4
Bernard Barač]]-V3</f>
        <v>55.9</v>
      </c>
      <c r="X3" s="23">
        <f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Row],[Category]],Majorette_Group_ModernMajoretteTeam_Cadet[J4 TOTAL],"&gt;"&amp;Majorette_Group_ModernMajoretteTeam_Cadet[[#This Row],[J4 TOTAL]])+1</f>
        <v>2</v>
      </c>
      <c r="Y3" s="20">
        <v>59.5</v>
      </c>
      <c r="Z3" s="21">
        <v>5.5</v>
      </c>
      <c r="AA3" s="22">
        <f>Majorette_Group_ModernMajoretteTeam_Cadet[[#This Row],[Judge 5
Barbara Novina]]-Z3</f>
        <v>54</v>
      </c>
      <c r="AB3" s="23">
        <f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Row],[Category]],Majorette_Group_ModernMajoretteTeam_Cadet[J5 TOTAL],"&gt;"&amp;Majorette_Group_ModernMajoretteTeam_Cadet[[#This Row],[J5 TOTAL]])+1</f>
        <v>2</v>
      </c>
      <c r="AC3" s="24">
        <f>SUM(Majorette_Group_ModernMajoretteTeam_Cadet[[#This Row],[J1 TOTAL]]+Majorette_Group_ModernMajoretteTeam_Cadet[[#This Row],[J2 TOTAL]]+Majorette_Group_ModernMajoretteTeam_Cadet[[#This Row],[J3 TOTAL]]+Majorette_Group_ModernMajoretteTeam_Cadet[[#This Row],[J4 TOTAL]])+Majorette_Group_ModernMajoretteTeam_Cadet[[#This Row],[J5 TOTAL]]</f>
        <v>273</v>
      </c>
      <c r="AD3" s="24">
        <f>MIN(Majorette_Group_ModernMajoretteTeam_Cadet[[#This Row],[J1 TOTAL]],Majorette_Group_ModernMajoretteTeam_Cadet[[#This Row],[J2 TOTAL]],Majorette_Group_ModernMajoretteTeam_Cadet[[#This Row],[J3 TOTAL]],Majorette_Group_ModernMajoretteTeam_Cadet[[#This Row],[J4 TOTAL]],Majorette_Group_ModernMajoretteTeam_Cadet[[#This Row],[J5 TOTAL]])</f>
        <v>46</v>
      </c>
      <c r="AE3" s="24">
        <f>MAX(Majorette_Group_ModernMajoretteTeam_Cadet[[#This Row],[J1 TOTAL]],Majorette_Group_ModernMajoretteTeam_Cadet[[#This Row],[J2 TOTAL]],Majorette_Group_ModernMajoretteTeam_Cadet[[#This Row],[J3 TOTAL]],Majorette_Group_ModernMajoretteTeam_Cadet[[#This Row],[J4 TOTAL]],Majorette_Group_ModernMajoretteTeam_Cadet[[#This Row],[J5 TOTAL]],)</f>
        <v>59.400000000000006</v>
      </c>
      <c r="AF3" s="24">
        <f>SUM(Majorette_Group_ModernMajoretteTeam_Cadet[[#This Row],[Total]]-Majorette_Group_ModernMajoretteTeam_Cadet[[#This Row],[Low]]-Majorette_Group_ModernMajoretteTeam_Cadet[[#This Row],[High]])</f>
        <v>167.6</v>
      </c>
      <c r="AG3" s="24">
        <f>AVERAGE(I3,M3,Q3,U3,Y3)</f>
        <v>59.9</v>
      </c>
      <c r="AH3" s="25">
        <f>Majorette_Group_ModernMajoretteTeam_Cadet[[#This Row],[Final Total]]</f>
        <v>167.6</v>
      </c>
      <c r="AI3" s="28">
        <f>COUNTIFS(Majorette_Group_ModernMajoretteTeam_Cadet[Age
Division],Majorette_Group_ModernMajoretteTeam_Cadet[[#This Row],[Age
Division]],Majorette_Group_ModernMajoretteTeam_Cadet[Category],Majorette_Group_ModernMajoretteTeam_Cadet[[#This Row],[Category]],Majorette_Group_ModernMajoretteTeam_Cadet[FINAL SCORE],"&gt;"&amp;Majorette_Group_ModernMajoretteTeam_Cadet[[#This Row],[FINAL SCORE]])+1</f>
        <v>2</v>
      </c>
      <c r="AJ3" s="16" t="s">
        <v>26</v>
      </c>
    </row>
  </sheetData>
  <sheetProtection algorithmName="SHA-512" hashValue="r/JaHXvAyFiMWoonogDyYS/HBM3BsZkC/3kkTl1SGOEhhtLjEZ2jT5pOWRmSale6hK75R2igdQ8C6Bn3Ij03pw==" saltValue="Ph+rqk9IWBChj+loeHZCFw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37C6F-28F6-4989-8AA4-99E21D743CE0}">
  <dimension ref="A1:BC3"/>
  <sheetViews>
    <sheetView zoomScale="80" zoomScaleNormal="80" workbookViewId="0">
      <pane xSplit="8" topLeftCell="I1" activePane="topRight" state="frozen"/>
      <selection activeCell="R26" sqref="R26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22.109375" style="29" customWidth="1"/>
    <col min="4" max="4" width="12.5546875" style="30" customWidth="1"/>
    <col min="5" max="5" width="16.33203125" style="30" hidden="1" customWidth="1"/>
    <col min="6" max="6" width="26.5546875" style="19" hidden="1" customWidth="1"/>
    <col min="7" max="7" width="44.33203125" style="19" customWidth="1"/>
    <col min="8" max="8" width="14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11</v>
      </c>
      <c r="B2" s="17"/>
      <c r="C2" s="17" t="s">
        <v>130</v>
      </c>
      <c r="D2" s="17" t="s">
        <v>27</v>
      </c>
      <c r="E2" s="17"/>
      <c r="F2" s="17"/>
      <c r="G2" s="17" t="s">
        <v>55</v>
      </c>
      <c r="H2" s="19" t="s">
        <v>25</v>
      </c>
      <c r="I2" s="20">
        <v>78.5</v>
      </c>
      <c r="J2" s="21">
        <v>3.5</v>
      </c>
      <c r="K2" s="22">
        <f>Majorette_Group_ModernMajoretteTeam_Junior[[#This Row],[Judge 1
Tamara Beljak]]-J2</f>
        <v>75</v>
      </c>
      <c r="L2" s="23">
        <f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Row],[Category]],Majorette_Group_ModernMajoretteTeam_Junior[J1 TOTAL],"&gt;"&amp;Majorette_Group_ModernMajoretteTeam_Junior[[#This Row],[J1 TOTAL]])+1</f>
        <v>1</v>
      </c>
      <c r="M2" s="20">
        <v>79</v>
      </c>
      <c r="N2" s="21">
        <v>3.5</v>
      </c>
      <c r="O2" s="22">
        <f>Majorette_Group_ModernMajoretteTeam_Junior[[#This Row],[Judge 2
Tihomir Bendelja]]-Majorette_Group_ModernMajoretteTeam_Junior[[#This Row],[J2 (-)]]</f>
        <v>75.5</v>
      </c>
      <c r="P2" s="23">
        <f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Row],[Category]],Majorette_Group_ModernMajoretteTeam_Junior[J2 TOTAL],"&gt;"&amp;Majorette_Group_ModernMajoretteTeam_Junior[[#This Row],[J2 TOTAL]])+1</f>
        <v>2</v>
      </c>
      <c r="Q2" s="20">
        <v>80.599999999999994</v>
      </c>
      <c r="R2" s="21">
        <v>3.5</v>
      </c>
      <c r="S2" s="22">
        <f>Majorette_Group_ModernMajoretteTeam_Junior[[#This Row],[Judge 3
Tea Softić]]-R2</f>
        <v>77.099999999999994</v>
      </c>
      <c r="T2" s="23">
        <f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Row],[Category]],Majorette_Group_ModernMajoretteTeam_Junior[J3 TOTAL],"&gt;"&amp;Majorette_Group_ModernMajoretteTeam_Junior[[#This Row],[J3 TOTAL]])+1</f>
        <v>2</v>
      </c>
      <c r="U2" s="20">
        <v>75.599999999999994</v>
      </c>
      <c r="V2" s="21">
        <v>3.5</v>
      </c>
      <c r="W2" s="22">
        <f>Majorette_Group_ModernMajoretteTeam_Junior[[#This Row],[Judge 4
Bernard Barač]]-V2</f>
        <v>72.099999999999994</v>
      </c>
      <c r="X2" s="23">
        <f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Row],[Category]],Majorette_Group_ModernMajoretteTeam_Junior[J4 TOTAL],"&gt;"&amp;Majorette_Group_ModernMajoretteTeam_Junior[[#This Row],[J4 TOTAL]])+1</f>
        <v>1</v>
      </c>
      <c r="Y2" s="20">
        <v>78.5</v>
      </c>
      <c r="Z2" s="21">
        <v>3.5</v>
      </c>
      <c r="AA2" s="22">
        <f>Majorette_Group_ModernMajoretteTeam_Junior[[#This Row],[Judge 5
Barbara Novina]]-Z2</f>
        <v>75</v>
      </c>
      <c r="AB2" s="23">
        <f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Row],[Category]],Majorette_Group_ModernMajoretteTeam_Junior[J5 TOTAL],"&gt;"&amp;Majorette_Group_ModernMajoretteTeam_Junior[[#This Row],[J5 TOTAL]])+1</f>
        <v>1</v>
      </c>
      <c r="AC2" s="24">
        <f>SUM(Majorette_Group_ModernMajoretteTeam_Junior[[#This Row],[J1 TOTAL]]+Majorette_Group_ModernMajoretteTeam_Junior[[#This Row],[J2 TOTAL]]+Majorette_Group_ModernMajoretteTeam_Junior[[#This Row],[J3 TOTAL]]+Majorette_Group_ModernMajoretteTeam_Junior[[#This Row],[J4 TOTAL]])+Majorette_Group_ModernMajoretteTeam_Junior[[#This Row],[J5 TOTAL]]</f>
        <v>374.7</v>
      </c>
      <c r="AD2" s="24">
        <f>MIN(Majorette_Group_ModernMajoretteTeam_Junior[[#This Row],[J1 TOTAL]],Majorette_Group_ModernMajoretteTeam_Junior[[#This Row],[J2 TOTAL]],Majorette_Group_ModernMajoretteTeam_Junior[[#This Row],[J3 TOTAL]],Majorette_Group_ModernMajoretteTeam_Junior[[#This Row],[J4 TOTAL]],Majorette_Group_ModernMajoretteTeam_Junior[[#This Row],[J5 TOTAL]])</f>
        <v>72.099999999999994</v>
      </c>
      <c r="AE2" s="24">
        <f>MAX(Majorette_Group_ModernMajoretteTeam_Junior[[#This Row],[J1 TOTAL]],Majorette_Group_ModernMajoretteTeam_Junior[[#This Row],[J2 TOTAL]],Majorette_Group_ModernMajoretteTeam_Junior[[#This Row],[J3 TOTAL]],Majorette_Group_ModernMajoretteTeam_Junior[[#This Row],[J4 TOTAL]],Majorette_Group_ModernMajoretteTeam_Junior[[#This Row],[J5 TOTAL]],)</f>
        <v>77.099999999999994</v>
      </c>
      <c r="AF2" s="24">
        <f>SUM(Majorette_Group_ModernMajoretteTeam_Junior[[#This Row],[Total]]-Majorette_Group_ModernMajoretteTeam_Junior[[#This Row],[Low]]-Majorette_Group_ModernMajoretteTeam_Junior[[#This Row],[High]])</f>
        <v>225.50000000000003</v>
      </c>
      <c r="AG2" s="24">
        <f>AVERAGE(I2,M2,Q2,U2,Y2)</f>
        <v>78.44</v>
      </c>
      <c r="AH2" s="25">
        <f>Majorette_Group_ModernMajoretteTeam_Junior[[#This Row],[Final Total]]</f>
        <v>225.50000000000003</v>
      </c>
      <c r="AI2" s="28">
        <f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Row],[Category]],Majorette_Group_ModernMajoretteTeam_Junior[FINAL SCORE],"&gt;"&amp;Majorette_Group_ModernMajoretteTeam_Junior[[#This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12</v>
      </c>
      <c r="B3" s="17"/>
      <c r="C3" s="17" t="s">
        <v>130</v>
      </c>
      <c r="D3" s="17" t="s">
        <v>27</v>
      </c>
      <c r="E3" s="18"/>
      <c r="F3" s="17"/>
      <c r="G3" s="17" t="s">
        <v>31</v>
      </c>
      <c r="H3" s="19" t="s">
        <v>25</v>
      </c>
      <c r="I3" s="20">
        <v>76</v>
      </c>
      <c r="J3" s="21">
        <v>4</v>
      </c>
      <c r="K3" s="22">
        <f>Majorette_Group_ModernMajoretteTeam_Junior[[#This Row],[Judge 1
Tamara Beljak]]-J3</f>
        <v>72</v>
      </c>
      <c r="L3" s="23">
        <f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Row],[Category]],Majorette_Group_ModernMajoretteTeam_Junior[J1 TOTAL],"&gt;"&amp;Majorette_Group_ModernMajoretteTeam_Junior[[#This Row],[J1 TOTAL]])+1</f>
        <v>2</v>
      </c>
      <c r="M3" s="20">
        <v>80</v>
      </c>
      <c r="N3" s="21">
        <v>4</v>
      </c>
      <c r="O3" s="22">
        <f>Majorette_Group_ModernMajoretteTeam_Junior[[#This Row],[Judge 2
Tihomir Bendelja]]-Majorette_Group_ModernMajoretteTeam_Junior[[#This Row],[J2 (-)]]</f>
        <v>76</v>
      </c>
      <c r="P3" s="23">
        <f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Row],[Category]],Majorette_Group_ModernMajoretteTeam_Junior[J2 TOTAL],"&gt;"&amp;Majorette_Group_ModernMajoretteTeam_Junior[[#This Row],[J2 TOTAL]])+1</f>
        <v>1</v>
      </c>
      <c r="Q3" s="20">
        <v>82</v>
      </c>
      <c r="R3" s="21">
        <v>4</v>
      </c>
      <c r="S3" s="22">
        <f>Majorette_Group_ModernMajoretteTeam_Junior[[#This Row],[Judge 3
Tea Softić]]-R3</f>
        <v>78</v>
      </c>
      <c r="T3" s="23">
        <f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Row],[Category]],Majorette_Group_ModernMajoretteTeam_Junior[J3 TOTAL],"&gt;"&amp;Majorette_Group_ModernMajoretteTeam_Junior[[#This Row],[J3 TOTAL]])+1</f>
        <v>1</v>
      </c>
      <c r="U3" s="20">
        <v>75.5</v>
      </c>
      <c r="V3" s="21">
        <v>4</v>
      </c>
      <c r="W3" s="22">
        <f>Majorette_Group_ModernMajoretteTeam_Junior[[#This Row],[Judge 4
Bernard Barač]]-V3</f>
        <v>71.5</v>
      </c>
      <c r="X3" s="23">
        <f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Row],[Category]],Majorette_Group_ModernMajoretteTeam_Junior[J4 TOTAL],"&gt;"&amp;Majorette_Group_ModernMajoretteTeam_Junior[[#This Row],[J4 TOTAL]])+1</f>
        <v>2</v>
      </c>
      <c r="Y3" s="20">
        <v>73</v>
      </c>
      <c r="Z3" s="21">
        <v>4</v>
      </c>
      <c r="AA3" s="22">
        <f>Majorette_Group_ModernMajoretteTeam_Junior[[#This Row],[Judge 5
Barbara Novina]]-Z3</f>
        <v>69</v>
      </c>
      <c r="AB3" s="23">
        <f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Row],[Category]],Majorette_Group_ModernMajoretteTeam_Junior[J5 TOTAL],"&gt;"&amp;Majorette_Group_ModernMajoretteTeam_Junior[[#This Row],[J5 TOTAL]])+1</f>
        <v>2</v>
      </c>
      <c r="AC3" s="24">
        <f>SUM(Majorette_Group_ModernMajoretteTeam_Junior[[#This Row],[J1 TOTAL]]+Majorette_Group_ModernMajoretteTeam_Junior[[#This Row],[J2 TOTAL]]+Majorette_Group_ModernMajoretteTeam_Junior[[#This Row],[J3 TOTAL]]+Majorette_Group_ModernMajoretteTeam_Junior[[#This Row],[J4 TOTAL]])+Majorette_Group_ModernMajoretteTeam_Junior[[#This Row],[J5 TOTAL]]</f>
        <v>366.5</v>
      </c>
      <c r="AD3" s="24">
        <f>MIN(Majorette_Group_ModernMajoretteTeam_Junior[[#This Row],[J1 TOTAL]],Majorette_Group_ModernMajoretteTeam_Junior[[#This Row],[J2 TOTAL]],Majorette_Group_ModernMajoretteTeam_Junior[[#This Row],[J3 TOTAL]],Majorette_Group_ModernMajoretteTeam_Junior[[#This Row],[J4 TOTAL]],Majorette_Group_ModernMajoretteTeam_Junior[[#This Row],[J5 TOTAL]])</f>
        <v>69</v>
      </c>
      <c r="AE3" s="24">
        <f>MAX(Majorette_Group_ModernMajoretteTeam_Junior[[#This Row],[J1 TOTAL]],Majorette_Group_ModernMajoretteTeam_Junior[[#This Row],[J2 TOTAL]],Majorette_Group_ModernMajoretteTeam_Junior[[#This Row],[J3 TOTAL]],Majorette_Group_ModernMajoretteTeam_Junior[[#This Row],[J4 TOTAL]],Majorette_Group_ModernMajoretteTeam_Junior[[#This Row],[J5 TOTAL]],)</f>
        <v>78</v>
      </c>
      <c r="AF3" s="24">
        <f>SUM(Majorette_Group_ModernMajoretteTeam_Junior[[#This Row],[Total]]-Majorette_Group_ModernMajoretteTeam_Junior[[#This Row],[Low]]-Majorette_Group_ModernMajoretteTeam_Junior[[#This Row],[High]])</f>
        <v>219.5</v>
      </c>
      <c r="AG3" s="24">
        <f>AVERAGE(I3,M3,Q3,U3,Y3)</f>
        <v>77.3</v>
      </c>
      <c r="AH3" s="25">
        <f>Majorette_Group_ModernMajoretteTeam_Junior[[#This Row],[Final Total]]</f>
        <v>219.5</v>
      </c>
      <c r="AI3" s="26">
        <f>COUNTIFS(Majorette_Group_ModernMajoretteTeam_Junior[Age
Division],Majorette_Group_ModernMajoretteTeam_Junior[[#This Row],[Age
Division]],Majorette_Group_ModernMajoretteTeam_Junior[Category],Majorette_Group_ModernMajoretteTeam_Junior[[#This Row],[Category]],Majorette_Group_ModernMajoretteTeam_Junior[FINAL SCORE],"&gt;"&amp;Majorette_Group_ModernMajoretteTeam_Junior[[#This Row],[FINAL SCORE]])+1</f>
        <v>2</v>
      </c>
      <c r="AJ3" s="16" t="s">
        <v>26</v>
      </c>
    </row>
  </sheetData>
  <sheetProtection algorithmName="SHA-512" hashValue="HSpIrDromgulm17POAsgtJ7i2zoO+/rEjJdYyQNScFezgM1CoD41gz/UYBX0TjcHBfIYsA/TJ76Yh/fbWk7crg==" saltValue="u924KBcKMKT5rD+HqkqAXQ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D6DFC-4273-40D6-BDFC-1A0E61C369C7}">
  <dimension ref="A1:BC2"/>
  <sheetViews>
    <sheetView zoomScale="80" zoomScaleNormal="80" workbookViewId="0">
      <pane xSplit="8" topLeftCell="T1" activePane="topRight" state="frozen"/>
      <selection activeCell="R26" sqref="R26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22.109375" style="29" customWidth="1"/>
    <col min="4" max="4" width="12.5546875" style="30" customWidth="1"/>
    <col min="5" max="5" width="16.33203125" style="30" hidden="1" customWidth="1"/>
    <col min="6" max="6" width="26.5546875" style="19" hidden="1" customWidth="1"/>
    <col min="7" max="7" width="48.5546875" style="19" customWidth="1"/>
    <col min="8" max="8" width="14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16</v>
      </c>
      <c r="B2" s="17"/>
      <c r="C2" s="17" t="s">
        <v>131</v>
      </c>
      <c r="D2" s="17" t="s">
        <v>23</v>
      </c>
      <c r="E2" s="17"/>
      <c r="F2" s="17"/>
      <c r="G2" s="17" t="s">
        <v>24</v>
      </c>
      <c r="H2" s="19" t="s">
        <v>25</v>
      </c>
      <c r="I2" s="20">
        <v>60</v>
      </c>
      <c r="J2" s="21">
        <v>3.5</v>
      </c>
      <c r="K2" s="22">
        <f>Majorette_Group_ModernMajoretteGroup_Cadet[[#This Row],[Judge 1
Tamara Beljak]]-J2</f>
        <v>56.5</v>
      </c>
      <c r="L2" s="23">
        <f>COUNTIFS(Majorette_Group_ModernMajoretteGroup_Cadet[Age
Division],Majorette_Group_ModernMajoretteGroup_Cadet[[#This Row],[Age
Division]],Majorette_Group_ModernMajoretteGroup_Cadet[Category],Majorette_Group_ModernMajoretteGroup_Cadet[[#This Row],[Category]],Majorette_Group_ModernMajoretteGroup_Cadet[J1 TOTAL],"&gt;"&amp;Majorette_Group_ModernMajoretteGroup_Cadet[[#This Row],[J1 TOTAL]])+1</f>
        <v>1</v>
      </c>
      <c r="M2" s="20">
        <v>59.5</v>
      </c>
      <c r="N2" s="21">
        <v>3.5</v>
      </c>
      <c r="O2" s="22">
        <f>Majorette_Group_ModernMajoretteGroup_Cadet[[#This Row],[Judge 2
Tihomir Bendelja]]-Majorette_Group_ModernMajoretteGroup_Cadet[[#This Row],[J2 (-)]]</f>
        <v>56</v>
      </c>
      <c r="P2" s="23">
        <f>COUNTIFS(Majorette_Group_ModernMajoretteGroup_Cadet[Age
Division],Majorette_Group_ModernMajoretteGroup_Cadet[[#This Row],[Age
Division]],Majorette_Group_ModernMajoretteGroup_Cadet[Category],Majorette_Group_ModernMajoretteGroup_Cadet[[#This Row],[Category]],Majorette_Group_ModernMajoretteGroup_Cadet[J2 TOTAL],"&gt;"&amp;Majorette_Group_ModernMajoretteGroup_Cadet[[#This Row],[J2 TOTAL]])+1</f>
        <v>1</v>
      </c>
      <c r="Q2" s="20">
        <v>60.3</v>
      </c>
      <c r="R2" s="21">
        <v>3.5</v>
      </c>
      <c r="S2" s="22">
        <f>Majorette_Group_ModernMajoretteGroup_Cadet[[#This Row],[Judge 3
Tea Softić]]-R2</f>
        <v>56.8</v>
      </c>
      <c r="T2" s="23">
        <f>COUNTIFS(Majorette_Group_ModernMajoretteGroup_Cadet[Age
Division],Majorette_Group_ModernMajoretteGroup_Cadet[[#This Row],[Age
Division]],Majorette_Group_ModernMajoretteGroup_Cadet[Category],Majorette_Group_ModernMajoretteGroup_Cadet[[#This Row],[Category]],Majorette_Group_ModernMajoretteGroup_Cadet[J3 TOTAL],"&gt;"&amp;Majorette_Group_ModernMajoretteGroup_Cadet[[#This Row],[J3 TOTAL]])+1</f>
        <v>1</v>
      </c>
      <c r="U2" s="20">
        <v>65.7</v>
      </c>
      <c r="V2" s="21">
        <v>3.5</v>
      </c>
      <c r="W2" s="22">
        <f>Majorette_Group_ModernMajoretteGroup_Cadet[[#This Row],[Judge 4
Bernard Barač]]-V2</f>
        <v>62.2</v>
      </c>
      <c r="X2" s="23">
        <f>COUNTIFS(Majorette_Group_ModernMajoretteGroup_Cadet[Age
Division],Majorette_Group_ModernMajoretteGroup_Cadet[[#This Row],[Age
Division]],Majorette_Group_ModernMajoretteGroup_Cadet[Category],Majorette_Group_ModernMajoretteGroup_Cadet[[#This Row],[Category]],Majorette_Group_ModernMajoretteGroup_Cadet[J4 TOTAL],"&gt;"&amp;Majorette_Group_ModernMajoretteGroup_Cadet[[#This Row],[J4 TOTAL]])+1</f>
        <v>1</v>
      </c>
      <c r="Y2" s="20">
        <v>62</v>
      </c>
      <c r="Z2" s="21">
        <v>3.5</v>
      </c>
      <c r="AA2" s="22">
        <f>Majorette_Group_ModernMajoretteGroup_Cadet[[#This Row],[Judge 5
Barbara Novina]]-Z2</f>
        <v>58.5</v>
      </c>
      <c r="AB2" s="23">
        <f>COUNTIFS(Majorette_Group_ModernMajoretteGroup_Cadet[Age
Division],Majorette_Group_ModernMajoretteGroup_Cadet[[#This Row],[Age
Division]],Majorette_Group_ModernMajoretteGroup_Cadet[Category],Majorette_Group_ModernMajoretteGroup_Cadet[[#This Row],[Category]],Majorette_Group_ModernMajoretteGroup_Cadet[J5 TOTAL],"&gt;"&amp;Majorette_Group_ModernMajoretteGroup_Cadet[[#This Row],[J5 TOTAL]])+1</f>
        <v>1</v>
      </c>
      <c r="AC2" s="24">
        <f>SUM(Majorette_Group_ModernMajoretteGroup_Cadet[[#This Row],[J1 TOTAL]]+Majorette_Group_ModernMajoretteGroup_Cadet[[#This Row],[J2 TOTAL]]+Majorette_Group_ModernMajoretteGroup_Cadet[[#This Row],[J3 TOTAL]]+Majorette_Group_ModernMajoretteGroup_Cadet[[#This Row],[J4 TOTAL]])+Majorette_Group_ModernMajoretteGroup_Cadet[[#This Row],[J5 TOTAL]]</f>
        <v>290</v>
      </c>
      <c r="AD2" s="24">
        <f>MIN(Majorette_Group_ModernMajoretteGroup_Cadet[[#This Row],[J1 TOTAL]],Majorette_Group_ModernMajoretteGroup_Cadet[[#This Row],[J2 TOTAL]],Majorette_Group_ModernMajoretteGroup_Cadet[[#This Row],[J3 TOTAL]],Majorette_Group_ModernMajoretteGroup_Cadet[[#This Row],[J4 TOTAL]],Majorette_Group_ModernMajoretteGroup_Cadet[[#This Row],[J5 TOTAL]])</f>
        <v>56</v>
      </c>
      <c r="AE2" s="24">
        <f>MAX(Majorette_Group_ModernMajoretteGroup_Cadet[[#This Row],[J1 TOTAL]],Majorette_Group_ModernMajoretteGroup_Cadet[[#This Row],[J2 TOTAL]],Majorette_Group_ModernMajoretteGroup_Cadet[[#This Row],[J3 TOTAL]],Majorette_Group_ModernMajoretteGroup_Cadet[[#This Row],[J4 TOTAL]],Majorette_Group_ModernMajoretteGroup_Cadet[[#This Row],[J5 TOTAL]],)</f>
        <v>62.2</v>
      </c>
      <c r="AF2" s="24">
        <f>SUM(Majorette_Group_ModernMajoretteGroup_Cadet[[#This Row],[Total]]-Majorette_Group_ModernMajoretteGroup_Cadet[[#This Row],[Low]]-Majorette_Group_ModernMajoretteGroup_Cadet[[#This Row],[High]])</f>
        <v>171.8</v>
      </c>
      <c r="AG2" s="24">
        <f>AVERAGE(I2,M2,Q2,U2,Y2)</f>
        <v>61.5</v>
      </c>
      <c r="AH2" s="25">
        <f>Majorette_Group_ModernMajoretteGroup_Cadet[[#This Row],[Final Total]]</f>
        <v>171.8</v>
      </c>
      <c r="AI2" s="28">
        <f>COUNTIFS(Majorette_Group_ModernMajoretteGroup_Cadet[Age
Division],Majorette_Group_ModernMajoretteGroup_Cadet[[#This Row],[Age
Division]],Majorette_Group_ModernMajoretteGroup_Cadet[Category],Majorette_Group_ModernMajoretteGroup_Cadet[[#This Row],[Category]],Majorette_Group_ModernMajoretteGroup_Cadet[FINAL SCORE],"&gt;"&amp;Majorette_Group_ModernMajoretteGroup_Cadet[[#This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8mfurB797vea7HsdK2Um6d+dKwuRR8qxl8bHHTAPF20QvFABaHzsEXV2CcmeYshGkt45JVcyv9oYeVKbN+WE9Q==" saltValue="4yLPVQaRW9KvTa/+Tw6aMA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22C66-11C8-42C0-9333-9EEEA5827961}">
  <dimension ref="A1:BC7"/>
  <sheetViews>
    <sheetView zoomScale="80" zoomScaleNormal="80" workbookViewId="0">
      <pane xSplit="8" topLeftCell="I1" activePane="topRight" state="frozen"/>
      <selection activeCell="G2" sqref="G2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3.5546875" style="29" customWidth="1"/>
    <col min="4" max="4" width="8.21875" style="30" customWidth="1"/>
    <col min="5" max="5" width="16.33203125" style="30" hidden="1" customWidth="1"/>
    <col min="6" max="6" width="14" style="19" customWidth="1"/>
    <col min="7" max="7" width="38.21875" style="19" customWidth="1"/>
    <col min="8" max="8" width="8.6640625" style="19" customWidth="1"/>
    <col min="9" max="12" width="9.109375" style="19" customWidth="1"/>
    <col min="13" max="16" width="9.109375" style="19" hidden="1" customWidth="1"/>
    <col min="17" max="20" width="9.109375" style="19" customWidth="1"/>
    <col min="21" max="28" width="9.109375" style="19" hidden="1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36</v>
      </c>
      <c r="B2" s="17">
        <v>1</v>
      </c>
      <c r="C2" s="17" t="s">
        <v>53</v>
      </c>
      <c r="D2" s="17" t="s">
        <v>27</v>
      </c>
      <c r="E2" s="17"/>
      <c r="F2" s="17" t="s">
        <v>69</v>
      </c>
      <c r="G2" s="27" t="s">
        <v>67</v>
      </c>
      <c r="H2" s="19" t="s">
        <v>25</v>
      </c>
      <c r="I2" s="20">
        <v>33.4</v>
      </c>
      <c r="J2" s="21">
        <v>0.5</v>
      </c>
      <c r="K2" s="22">
        <f>Majorette_Solo_MajoretteSolo_Junior[[#This Row],[Judge 1
Tamara Beljak]]-J2</f>
        <v>32.9</v>
      </c>
      <c r="L2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Row],[Category]],Majorette_Solo_MajoretteSolo_Junior[J1 TOTAL],"&gt;"&amp;Majorette_Solo_MajoretteSolo_Junior[[#This Row],[J1 TOTAL]])+1</f>
        <v>1</v>
      </c>
      <c r="M2" s="20"/>
      <c r="N2" s="21"/>
      <c r="O2" s="22">
        <f>Majorette_Solo_MajoretteSolo_Junior[[#This Row],[Judge 2
Tihomir Bendelja]]-Majorette_Solo_MajoretteSolo_Junior[[#This Row],[J2 (-)]]</f>
        <v>0</v>
      </c>
      <c r="P2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Row],[Category]],Majorette_Solo_MajoretteSolo_Junior[J2 TOTAL],"&gt;"&amp;Majorette_Solo_MajoretteSolo_Junior[[#This Row],[J2 TOTAL]])+1</f>
        <v>1</v>
      </c>
      <c r="Q2" s="20">
        <v>35.200000000000003</v>
      </c>
      <c r="R2" s="21">
        <v>0.5</v>
      </c>
      <c r="S2" s="22">
        <f>Majorette_Solo_MajoretteSolo_Junior[[#This Row],[Judge 3
Tea Softić]]-R2</f>
        <v>34.700000000000003</v>
      </c>
      <c r="T2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Row],[Category]],Majorette_Solo_MajoretteSolo_Junior[J3 TOTAL],"&gt;"&amp;Majorette_Solo_MajoretteSolo_Junior[[#This Row],[J3 TOTAL]])+1</f>
        <v>1</v>
      </c>
      <c r="U2" s="20"/>
      <c r="V2" s="21"/>
      <c r="W2" s="22">
        <f>Majorette_Solo_MajoretteSolo_Junior[[#This Row],[Judge 4
Bernard Barač]]-V2</f>
        <v>0</v>
      </c>
      <c r="X2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Row],[Category]],Majorette_Solo_MajoretteSolo_Junior[J4 TOTAL],"&gt;"&amp;Majorette_Solo_MajoretteSolo_Junior[[#This Row],[J4 TOTAL]])+1</f>
        <v>1</v>
      </c>
      <c r="Y2" s="20"/>
      <c r="Z2" s="21"/>
      <c r="AA2" s="22">
        <f>Majorette_Solo_MajoretteSolo_Junior[[#This Row],[Judge 5
Barbara Novina]]-Z2</f>
        <v>0</v>
      </c>
      <c r="AB2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Row],[Category]],Majorette_Solo_MajoretteSolo_Junior[J5 TOTAL],"&gt;"&amp;Majorette_Solo_MajoretteSolo_Junior[[#This Row],[J5 TOTAL]])+1</f>
        <v>1</v>
      </c>
      <c r="AC2" s="24">
        <f>SUM(Majorette_Solo_MajoretteSolo_Junior[[#This Row],[J1 TOTAL]]+Majorette_Solo_MajoretteSolo_Junior[[#This Row],[J2 TOTAL]]+Majorette_Solo_MajoretteSolo_Junior[[#This Row],[J3 TOTAL]]+Majorette_Solo_MajoretteSolo_Junior[[#This Row],[J4 TOTAL]])+Majorette_Solo_MajoretteSolo_Junior[[#This Row],[J5 TOTAL]]</f>
        <v>67.599999999999994</v>
      </c>
      <c r="AD2" s="24"/>
      <c r="AE2" s="24"/>
      <c r="AF2" s="24">
        <f>SUM(Majorette_Solo_MajoretteSolo_Junior[[#This Row],[Total]]-Majorette_Solo_MajoretteSolo_Junior[[#This Row],[Low]]-Majorette_Solo_MajoretteSolo_Junior[[#This Row],[High]])</f>
        <v>67.599999999999994</v>
      </c>
      <c r="AG2" s="24">
        <f t="shared" ref="AG2:AG7" si="0">AVERAGE(I2,M2,Q2,U2,Y2)</f>
        <v>34.299999999999997</v>
      </c>
      <c r="AH2" s="25">
        <f>Majorette_Solo_MajoretteSolo_Junior[[#This Row],[Final Total]]</f>
        <v>67.599999999999994</v>
      </c>
      <c r="AI2" s="28">
        <f>COUNTIFS(Majorette_Solo_MajoretteSolo_Junior[Age
Division],Majorette_Solo_MajoretteSolo_Junior[[#This Row],[Age
Division]],Majorette_Solo_MajoretteSolo_Junior[Category],Majorette_Solo_MajoretteSolo_Junior[[#This Row],[Category]],Majorette_Solo_MajoretteSolo_Junior[FINAL SCORE],"&gt;"&amp;Majorette_Solo_MajoretteSolo_Junior[[#This Row],[FINAL SCORE]])+1</f>
        <v>1</v>
      </c>
      <c r="AJ2" s="16" t="s">
        <v>33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40</v>
      </c>
      <c r="B3" s="17">
        <v>1</v>
      </c>
      <c r="C3" s="17" t="s">
        <v>53</v>
      </c>
      <c r="D3" s="17" t="s">
        <v>27</v>
      </c>
      <c r="E3" s="18"/>
      <c r="F3" s="17" t="s">
        <v>71</v>
      </c>
      <c r="G3" s="27" t="s">
        <v>55</v>
      </c>
      <c r="H3" s="19" t="s">
        <v>25</v>
      </c>
      <c r="I3" s="20">
        <v>32.4</v>
      </c>
      <c r="J3" s="21">
        <v>0</v>
      </c>
      <c r="K3" s="22">
        <f>Majorette_Solo_MajoretteSolo_Junior[[#This Row],[Judge 1
Tamara Beljak]]-J3</f>
        <v>32.4</v>
      </c>
      <c r="L3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Row],[Category]],Majorette_Solo_MajoretteSolo_Junior[J1 TOTAL],"&gt;"&amp;Majorette_Solo_MajoretteSolo_Junior[[#This Row],[J1 TOTAL]])+1</f>
        <v>2</v>
      </c>
      <c r="M3" s="20"/>
      <c r="N3" s="21"/>
      <c r="O3" s="22">
        <f>Majorette_Solo_MajoretteSolo_Junior[[#This Row],[Judge 2
Tihomir Bendelja]]-Majorette_Solo_MajoretteSolo_Junior[[#This Row],[J2 (-)]]</f>
        <v>0</v>
      </c>
      <c r="P3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Row],[Category]],Majorette_Solo_MajoretteSolo_Junior[J2 TOTAL],"&gt;"&amp;Majorette_Solo_MajoretteSolo_Junior[[#This Row],[J2 TOTAL]])+1</f>
        <v>1</v>
      </c>
      <c r="Q3" s="20">
        <v>33.700000000000003</v>
      </c>
      <c r="R3" s="21">
        <v>0</v>
      </c>
      <c r="S3" s="22">
        <f>Majorette_Solo_MajoretteSolo_Junior[[#This Row],[Judge 3
Tea Softić]]-R3</f>
        <v>33.700000000000003</v>
      </c>
      <c r="T3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Row],[Category]],Majorette_Solo_MajoretteSolo_Junior[J3 TOTAL],"&gt;"&amp;Majorette_Solo_MajoretteSolo_Junior[[#This Row],[J3 TOTAL]])+1</f>
        <v>2</v>
      </c>
      <c r="U3" s="20"/>
      <c r="V3" s="21"/>
      <c r="W3" s="22">
        <f>Majorette_Solo_MajoretteSolo_Junior[[#This Row],[Judge 4
Bernard Barač]]-V3</f>
        <v>0</v>
      </c>
      <c r="X3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Row],[Category]],Majorette_Solo_MajoretteSolo_Junior[J4 TOTAL],"&gt;"&amp;Majorette_Solo_MajoretteSolo_Junior[[#This Row],[J4 TOTAL]])+1</f>
        <v>1</v>
      </c>
      <c r="Y3" s="20"/>
      <c r="Z3" s="21"/>
      <c r="AA3" s="22">
        <f>Majorette_Solo_MajoretteSolo_Junior[[#This Row],[Judge 5
Barbara Novina]]-Z3</f>
        <v>0</v>
      </c>
      <c r="AB3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Row],[Category]],Majorette_Solo_MajoretteSolo_Junior[J5 TOTAL],"&gt;"&amp;Majorette_Solo_MajoretteSolo_Junior[[#This Row],[J5 TOTAL]])+1</f>
        <v>1</v>
      </c>
      <c r="AC3" s="24">
        <f>SUM(Majorette_Solo_MajoretteSolo_Junior[[#This Row],[J1 TOTAL]]+Majorette_Solo_MajoretteSolo_Junior[[#This Row],[J2 TOTAL]]+Majorette_Solo_MajoretteSolo_Junior[[#This Row],[J3 TOTAL]]+Majorette_Solo_MajoretteSolo_Junior[[#This Row],[J4 TOTAL]])+Majorette_Solo_MajoretteSolo_Junior[[#This Row],[J5 TOTAL]]</f>
        <v>66.099999999999994</v>
      </c>
      <c r="AD3" s="24"/>
      <c r="AE3" s="24"/>
      <c r="AF3" s="24">
        <f>SUM(Majorette_Solo_MajoretteSolo_Junior[[#This Row],[Total]]-Majorette_Solo_MajoretteSolo_Junior[[#This Row],[Low]]-Majorette_Solo_MajoretteSolo_Junior[[#This Row],[High]])</f>
        <v>66.099999999999994</v>
      </c>
      <c r="AG3" s="24">
        <f t="shared" si="0"/>
        <v>33.049999999999997</v>
      </c>
      <c r="AH3" s="25">
        <f>Majorette_Solo_MajoretteSolo_Junior[[#This Row],[Final Total]]</f>
        <v>66.099999999999994</v>
      </c>
      <c r="AI3" s="26">
        <f>COUNTIFS(Majorette_Solo_MajoretteSolo_Junior[Age
Division],Majorette_Solo_MajoretteSolo_Junior[[#This Row],[Age
Division]],Majorette_Solo_MajoretteSolo_Junior[Category],Majorette_Solo_MajoretteSolo_Junior[[#This Row],[Category]],Majorette_Solo_MajoretteSolo_Junior[FINAL SCORE],"&gt;"&amp;Majorette_Solo_MajoretteSolo_Junior[[#This Row],[FINAL SCORE]])+1</f>
        <v>2</v>
      </c>
      <c r="AJ3" s="16" t="s">
        <v>33</v>
      </c>
    </row>
    <row r="4" spans="1:55" ht="15.6" x14ac:dyDescent="0.3">
      <c r="A4" s="16">
        <v>38</v>
      </c>
      <c r="B4" s="17">
        <v>1</v>
      </c>
      <c r="C4" s="17" t="s">
        <v>53</v>
      </c>
      <c r="D4" s="17" t="s">
        <v>27</v>
      </c>
      <c r="E4" s="17"/>
      <c r="F4" s="17" t="s">
        <v>70</v>
      </c>
      <c r="G4" s="27" t="s">
        <v>60</v>
      </c>
      <c r="H4" s="19" t="s">
        <v>25</v>
      </c>
      <c r="I4" s="20">
        <v>32</v>
      </c>
      <c r="J4" s="21">
        <v>0</v>
      </c>
      <c r="K4" s="22">
        <f>Majorette_Solo_MajoretteSolo_Junior[[#This Row],[Judge 1
Tamara Beljak]]-J4</f>
        <v>32</v>
      </c>
      <c r="L4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Row],[Category]],Majorette_Solo_MajoretteSolo_Junior[J1 TOTAL],"&gt;"&amp;Majorette_Solo_MajoretteSolo_Junior[[#This Row],[J1 TOTAL]])+1</f>
        <v>3</v>
      </c>
      <c r="M4" s="20"/>
      <c r="N4" s="21"/>
      <c r="O4" s="22">
        <f>Majorette_Solo_MajoretteSolo_Junior[[#This Row],[Judge 2
Tihomir Bendelja]]-Majorette_Solo_MajoretteSolo_Junior[[#This Row],[J2 (-)]]</f>
        <v>0</v>
      </c>
      <c r="P4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Row],[Category]],Majorette_Solo_MajoretteSolo_Junior[J2 TOTAL],"&gt;"&amp;Majorette_Solo_MajoretteSolo_Junior[[#This Row],[J2 TOTAL]])+1</f>
        <v>1</v>
      </c>
      <c r="Q4" s="20">
        <v>33.6</v>
      </c>
      <c r="R4" s="21">
        <v>0</v>
      </c>
      <c r="S4" s="22">
        <f>Majorette_Solo_MajoretteSolo_Junior[[#This Row],[Judge 3
Tea Softić]]-R4</f>
        <v>33.6</v>
      </c>
      <c r="T4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Row],[Category]],Majorette_Solo_MajoretteSolo_Junior[J3 TOTAL],"&gt;"&amp;Majorette_Solo_MajoretteSolo_Junior[[#This Row],[J3 TOTAL]])+1</f>
        <v>3</v>
      </c>
      <c r="U4" s="20"/>
      <c r="V4" s="21"/>
      <c r="W4" s="22">
        <f>Majorette_Solo_MajoretteSolo_Junior[[#This Row],[Judge 4
Bernard Barač]]-V4</f>
        <v>0</v>
      </c>
      <c r="X4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Row],[Category]],Majorette_Solo_MajoretteSolo_Junior[J4 TOTAL],"&gt;"&amp;Majorette_Solo_MajoretteSolo_Junior[[#This Row],[J4 TOTAL]])+1</f>
        <v>1</v>
      </c>
      <c r="Y4" s="20"/>
      <c r="Z4" s="21"/>
      <c r="AA4" s="22">
        <f>Majorette_Solo_MajoretteSolo_Junior[[#This Row],[Judge 5
Barbara Novina]]-Z4</f>
        <v>0</v>
      </c>
      <c r="AB4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Row],[Category]],Majorette_Solo_MajoretteSolo_Junior[J5 TOTAL],"&gt;"&amp;Majorette_Solo_MajoretteSolo_Junior[[#This Row],[J5 TOTAL]])+1</f>
        <v>1</v>
      </c>
      <c r="AC4" s="24">
        <f>SUM(Majorette_Solo_MajoretteSolo_Junior[[#This Row],[J1 TOTAL]]+Majorette_Solo_MajoretteSolo_Junior[[#This Row],[J2 TOTAL]]+Majorette_Solo_MajoretteSolo_Junior[[#This Row],[J3 TOTAL]]+Majorette_Solo_MajoretteSolo_Junior[[#This Row],[J4 TOTAL]])+Majorette_Solo_MajoretteSolo_Junior[[#This Row],[J5 TOTAL]]</f>
        <v>65.599999999999994</v>
      </c>
      <c r="AD4" s="24"/>
      <c r="AE4" s="24"/>
      <c r="AF4" s="24">
        <f>SUM(Majorette_Solo_MajoretteSolo_Junior[[#This Row],[Total]]-Majorette_Solo_MajoretteSolo_Junior[[#This Row],[Low]]-Majorette_Solo_MajoretteSolo_Junior[[#This Row],[High]])</f>
        <v>65.599999999999994</v>
      </c>
      <c r="AG4" s="24">
        <f t="shared" si="0"/>
        <v>32.799999999999997</v>
      </c>
      <c r="AH4" s="25">
        <f>Majorette_Solo_MajoretteSolo_Junior[[#This Row],[Final Total]]</f>
        <v>65.599999999999994</v>
      </c>
      <c r="AI4" s="26">
        <f>COUNTIFS(Majorette_Solo_MajoretteSolo_Junior[Age
Division],Majorette_Solo_MajoretteSolo_Junior[[#This Row],[Age
Division]],Majorette_Solo_MajoretteSolo_Junior[Category],Majorette_Solo_MajoretteSolo_Junior[[#This Row],[Category]],Majorette_Solo_MajoretteSolo_Junior[FINAL SCORE],"&gt;"&amp;Majorette_Solo_MajoretteSolo_Junior[[#This Row],[FINAL SCORE]])+1</f>
        <v>3</v>
      </c>
      <c r="AJ4" s="16" t="s">
        <v>33</v>
      </c>
    </row>
    <row r="5" spans="1:55" ht="15.6" x14ac:dyDescent="0.3">
      <c r="A5" s="16">
        <v>44</v>
      </c>
      <c r="B5" s="17">
        <v>1</v>
      </c>
      <c r="C5" s="17" t="s">
        <v>53</v>
      </c>
      <c r="D5" s="17" t="s">
        <v>27</v>
      </c>
      <c r="E5" s="18"/>
      <c r="F5" s="17" t="s">
        <v>47</v>
      </c>
      <c r="G5" s="27" t="s">
        <v>31</v>
      </c>
      <c r="H5" s="19" t="s">
        <v>25</v>
      </c>
      <c r="I5" s="20">
        <v>22</v>
      </c>
      <c r="J5" s="21">
        <v>1.5</v>
      </c>
      <c r="K5" s="22">
        <f>Majorette_Solo_MajoretteSolo_Junior[[#This Row],[Judge 1
Tamara Beljak]]-J5</f>
        <v>20.5</v>
      </c>
      <c r="L5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Row],[Category]],Majorette_Solo_MajoretteSolo_Junior[J1 TOTAL],"&gt;"&amp;Majorette_Solo_MajoretteSolo_Junior[[#This Row],[J1 TOTAL]])+1</f>
        <v>4</v>
      </c>
      <c r="M5" s="20"/>
      <c r="N5" s="21"/>
      <c r="O5" s="22">
        <f>Majorette_Solo_MajoretteSolo_Junior[[#This Row],[Judge 2
Tihomir Bendelja]]-Majorette_Solo_MajoretteSolo_Junior[[#This Row],[J2 (-)]]</f>
        <v>0</v>
      </c>
      <c r="P5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Row],[Category]],Majorette_Solo_MajoretteSolo_Junior[J2 TOTAL],"&gt;"&amp;Majorette_Solo_MajoretteSolo_Junior[[#This Row],[J2 TOTAL]])+1</f>
        <v>1</v>
      </c>
      <c r="Q5" s="20">
        <v>35.1</v>
      </c>
      <c r="R5" s="21">
        <v>1.5</v>
      </c>
      <c r="S5" s="22">
        <f>Majorette_Solo_MajoretteSolo_Junior[[#This Row],[Judge 3
Tea Softić]]-R5</f>
        <v>33.6</v>
      </c>
      <c r="T5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Row],[Category]],Majorette_Solo_MajoretteSolo_Junior[J3 TOTAL],"&gt;"&amp;Majorette_Solo_MajoretteSolo_Junior[[#This Row],[J3 TOTAL]])+1</f>
        <v>3</v>
      </c>
      <c r="U5" s="20"/>
      <c r="V5" s="21"/>
      <c r="W5" s="22">
        <f>Majorette_Solo_MajoretteSolo_Junior[[#This Row],[Judge 4
Bernard Barač]]-V5</f>
        <v>0</v>
      </c>
      <c r="X5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Row],[Category]],Majorette_Solo_MajoretteSolo_Junior[J4 TOTAL],"&gt;"&amp;Majorette_Solo_MajoretteSolo_Junior[[#This Row],[J4 TOTAL]])+1</f>
        <v>1</v>
      </c>
      <c r="Y5" s="20"/>
      <c r="Z5" s="21"/>
      <c r="AA5" s="22">
        <f>Majorette_Solo_MajoretteSolo_Junior[[#This Row],[Judge 5
Barbara Novina]]-Z5</f>
        <v>0</v>
      </c>
      <c r="AB5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Row],[Category]],Majorette_Solo_MajoretteSolo_Junior[J5 TOTAL],"&gt;"&amp;Majorette_Solo_MajoretteSolo_Junior[[#This Row],[J5 TOTAL]])+1</f>
        <v>1</v>
      </c>
      <c r="AC5" s="24">
        <f>SUM(Majorette_Solo_MajoretteSolo_Junior[[#This Row],[J1 TOTAL]]+Majorette_Solo_MajoretteSolo_Junior[[#This Row],[J2 TOTAL]]+Majorette_Solo_MajoretteSolo_Junior[[#This Row],[J3 TOTAL]]+Majorette_Solo_MajoretteSolo_Junior[[#This Row],[J4 TOTAL]])+Majorette_Solo_MajoretteSolo_Junior[[#This Row],[J5 TOTAL]]</f>
        <v>54.1</v>
      </c>
      <c r="AD5" s="24"/>
      <c r="AE5" s="24"/>
      <c r="AF5" s="24">
        <f>SUM(Majorette_Solo_MajoretteSolo_Junior[[#This Row],[Total]]-Majorette_Solo_MajoretteSolo_Junior[[#This Row],[Low]]-Majorette_Solo_MajoretteSolo_Junior[[#This Row],[High]])</f>
        <v>54.1</v>
      </c>
      <c r="AG5" s="24">
        <f t="shared" si="0"/>
        <v>28.55</v>
      </c>
      <c r="AH5" s="25">
        <f>Majorette_Solo_MajoretteSolo_Junior[[#This Row],[Final Total]]</f>
        <v>54.1</v>
      </c>
      <c r="AI5" s="26">
        <f>COUNTIFS(Majorette_Solo_MajoretteSolo_Junior[Age
Division],Majorette_Solo_MajoretteSolo_Junior[[#This Row],[Age
Division]],Majorette_Solo_MajoretteSolo_Junior[Category],Majorette_Solo_MajoretteSolo_Junior[[#This Row],[Category]],Majorette_Solo_MajoretteSolo_Junior[FINAL SCORE],"&gt;"&amp;Majorette_Solo_MajoretteSolo_Junior[[#This Row],[FINAL SCORE]])+1</f>
        <v>4</v>
      </c>
      <c r="AJ5" s="16" t="s">
        <v>33</v>
      </c>
    </row>
    <row r="6" spans="1:55" ht="15.6" x14ac:dyDescent="0.3">
      <c r="A6" s="16">
        <v>46</v>
      </c>
      <c r="B6" s="17">
        <v>1</v>
      </c>
      <c r="C6" s="17" t="s">
        <v>53</v>
      </c>
      <c r="D6" s="17" t="s">
        <v>27</v>
      </c>
      <c r="E6" s="18"/>
      <c r="F6" s="17" t="s">
        <v>48</v>
      </c>
      <c r="G6" s="27" t="s">
        <v>31</v>
      </c>
      <c r="H6" s="19" t="s">
        <v>25</v>
      </c>
      <c r="I6" s="20">
        <v>21.9</v>
      </c>
      <c r="J6" s="21">
        <v>1.5</v>
      </c>
      <c r="K6" s="22">
        <f>Majorette_Solo_MajoretteSolo_Junior[[#This Row],[Judge 1
Tamara Beljak]]-J6</f>
        <v>20.399999999999999</v>
      </c>
      <c r="L6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Row],[Category]],Majorette_Solo_MajoretteSolo_Junior[J1 TOTAL],"&gt;"&amp;Majorette_Solo_MajoretteSolo_Junior[[#This Row],[J1 TOTAL]])+1</f>
        <v>5</v>
      </c>
      <c r="M6" s="20"/>
      <c r="N6" s="21"/>
      <c r="O6" s="22">
        <f>Majorette_Solo_MajoretteSolo_Junior[[#This Row],[Judge 2
Tihomir Bendelja]]-Majorette_Solo_MajoretteSolo_Junior[[#This Row],[J2 (-)]]</f>
        <v>0</v>
      </c>
      <c r="P6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Row],[Category]],Majorette_Solo_MajoretteSolo_Junior[J2 TOTAL],"&gt;"&amp;Majorette_Solo_MajoretteSolo_Junior[[#This Row],[J2 TOTAL]])+1</f>
        <v>1</v>
      </c>
      <c r="Q6" s="20">
        <v>27.6</v>
      </c>
      <c r="R6" s="21">
        <v>1.5</v>
      </c>
      <c r="S6" s="22">
        <f>Majorette_Solo_MajoretteSolo_Junior[[#This Row],[Judge 3
Tea Softić]]-R6</f>
        <v>26.1</v>
      </c>
      <c r="T6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Row],[Category]],Majorette_Solo_MajoretteSolo_Junior[J3 TOTAL],"&gt;"&amp;Majorette_Solo_MajoretteSolo_Junior[[#This Row],[J3 TOTAL]])+1</f>
        <v>5</v>
      </c>
      <c r="U6" s="20"/>
      <c r="V6" s="21"/>
      <c r="W6" s="22">
        <f>Majorette_Solo_MajoretteSolo_Junior[[#This Row],[Judge 4
Bernard Barač]]-V6</f>
        <v>0</v>
      </c>
      <c r="X6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Row],[Category]],Majorette_Solo_MajoretteSolo_Junior[J4 TOTAL],"&gt;"&amp;Majorette_Solo_MajoretteSolo_Junior[[#This Row],[J4 TOTAL]])+1</f>
        <v>1</v>
      </c>
      <c r="Y6" s="20"/>
      <c r="Z6" s="21"/>
      <c r="AA6" s="22">
        <f>Majorette_Solo_MajoretteSolo_Junior[[#This Row],[Judge 5
Barbara Novina]]-Z6</f>
        <v>0</v>
      </c>
      <c r="AB6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Row],[Category]],Majorette_Solo_MajoretteSolo_Junior[J5 TOTAL],"&gt;"&amp;Majorette_Solo_MajoretteSolo_Junior[[#This Row],[J5 TOTAL]])+1</f>
        <v>1</v>
      </c>
      <c r="AC6" s="24">
        <f>SUM(Majorette_Solo_MajoretteSolo_Junior[[#This Row],[J1 TOTAL]]+Majorette_Solo_MajoretteSolo_Junior[[#This Row],[J2 TOTAL]]+Majorette_Solo_MajoretteSolo_Junior[[#This Row],[J3 TOTAL]]+Majorette_Solo_MajoretteSolo_Junior[[#This Row],[J4 TOTAL]])+Majorette_Solo_MajoretteSolo_Junior[[#This Row],[J5 TOTAL]]</f>
        <v>46.5</v>
      </c>
      <c r="AD6" s="24"/>
      <c r="AE6" s="24"/>
      <c r="AF6" s="24">
        <f>SUM(Majorette_Solo_MajoretteSolo_Junior[[#This Row],[Total]]-Majorette_Solo_MajoretteSolo_Junior[[#This Row],[Low]]-Majorette_Solo_MajoretteSolo_Junior[[#This Row],[High]])</f>
        <v>46.5</v>
      </c>
      <c r="AG6" s="24">
        <f t="shared" si="0"/>
        <v>24.75</v>
      </c>
      <c r="AH6" s="25">
        <f>Majorette_Solo_MajoretteSolo_Junior[[#This Row],[Final Total]]</f>
        <v>46.5</v>
      </c>
      <c r="AI6" s="26">
        <f>COUNTIFS(Majorette_Solo_MajoretteSolo_Junior[Age
Division],Majorette_Solo_MajoretteSolo_Junior[[#This Row],[Age
Division]],Majorette_Solo_MajoretteSolo_Junior[Category],Majorette_Solo_MajoretteSolo_Junior[[#This Row],[Category]],Majorette_Solo_MajoretteSolo_Junior[FINAL SCORE],"&gt;"&amp;Majorette_Solo_MajoretteSolo_Junior[[#This Row],[FINAL SCORE]])+1</f>
        <v>5</v>
      </c>
      <c r="AJ6" s="16" t="s">
        <v>33</v>
      </c>
    </row>
    <row r="7" spans="1:55" ht="15.6" x14ac:dyDescent="0.3">
      <c r="A7" s="16">
        <v>42</v>
      </c>
      <c r="B7" s="17">
        <v>1</v>
      </c>
      <c r="C7" s="17" t="s">
        <v>53</v>
      </c>
      <c r="D7" s="17" t="s">
        <v>27</v>
      </c>
      <c r="E7" s="18"/>
      <c r="F7" s="17" t="s">
        <v>72</v>
      </c>
      <c r="G7" s="27" t="s">
        <v>73</v>
      </c>
      <c r="H7" s="19" t="s">
        <v>25</v>
      </c>
      <c r="I7" s="20">
        <v>19</v>
      </c>
      <c r="J7" s="21">
        <v>2.5</v>
      </c>
      <c r="K7" s="22">
        <f>Majorette_Solo_MajoretteSolo_Junior[[#This Row],[Judge 1
Tamara Beljak]]-J7</f>
        <v>16.5</v>
      </c>
      <c r="L7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Row],[Category]],Majorette_Solo_MajoretteSolo_Junior[J1 TOTAL],"&gt;"&amp;Majorette_Solo_MajoretteSolo_Junior[[#This Row],[J1 TOTAL]])+1</f>
        <v>6</v>
      </c>
      <c r="M7" s="20"/>
      <c r="N7" s="21"/>
      <c r="O7" s="22">
        <f>Majorette_Solo_MajoretteSolo_Junior[[#This Row],[Judge 2
Tihomir Bendelja]]-Majorette_Solo_MajoretteSolo_Junior[[#This Row],[J2 (-)]]</f>
        <v>0</v>
      </c>
      <c r="P7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Row],[Category]],Majorette_Solo_MajoretteSolo_Junior[J2 TOTAL],"&gt;"&amp;Majorette_Solo_MajoretteSolo_Junior[[#This Row],[J2 TOTAL]])+1</f>
        <v>1</v>
      </c>
      <c r="Q7" s="20">
        <v>20</v>
      </c>
      <c r="R7" s="21">
        <v>2.5</v>
      </c>
      <c r="S7" s="22">
        <f>Majorette_Solo_MajoretteSolo_Junior[[#This Row],[Judge 3
Tea Softić]]-R7</f>
        <v>17.5</v>
      </c>
      <c r="T7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Row],[Category]],Majorette_Solo_MajoretteSolo_Junior[J3 TOTAL],"&gt;"&amp;Majorette_Solo_MajoretteSolo_Junior[[#This Row],[J3 TOTAL]])+1</f>
        <v>6</v>
      </c>
      <c r="U7" s="20"/>
      <c r="V7" s="21"/>
      <c r="W7" s="22">
        <f>Majorette_Solo_MajoretteSolo_Junior[[#This Row],[Judge 4
Bernard Barač]]-V7</f>
        <v>0</v>
      </c>
      <c r="X7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Row],[Category]],Majorette_Solo_MajoretteSolo_Junior[J4 TOTAL],"&gt;"&amp;Majorette_Solo_MajoretteSolo_Junior[[#This Row],[J4 TOTAL]])+1</f>
        <v>1</v>
      </c>
      <c r="Y7" s="20"/>
      <c r="Z7" s="21"/>
      <c r="AA7" s="22">
        <f>Majorette_Solo_MajoretteSolo_Junior[[#This Row],[Judge 5
Barbara Novina]]-Z7</f>
        <v>0</v>
      </c>
      <c r="AB7" s="23">
        <f>COUNTIFS(Majorette_Solo_MajoretteSolo_Junior[Age
Division],Majorette_Solo_MajoretteSolo_Junior[[#This Row],[Age
Division]],Majorette_Solo_MajoretteSolo_Junior[Category],Majorette_Solo_MajoretteSolo_Junior[[#This Row],[Category]],Majorette_Solo_MajoretteSolo_Junior[J5 TOTAL],"&gt;"&amp;Majorette_Solo_MajoretteSolo_Junior[[#This Row],[J5 TOTAL]])+1</f>
        <v>1</v>
      </c>
      <c r="AC7" s="24">
        <f>SUM(Majorette_Solo_MajoretteSolo_Junior[[#This Row],[J1 TOTAL]]+Majorette_Solo_MajoretteSolo_Junior[[#This Row],[J2 TOTAL]]+Majorette_Solo_MajoretteSolo_Junior[[#This Row],[J3 TOTAL]]+Majorette_Solo_MajoretteSolo_Junior[[#This Row],[J4 TOTAL]])+Majorette_Solo_MajoretteSolo_Junior[[#This Row],[J5 TOTAL]]</f>
        <v>34</v>
      </c>
      <c r="AD7" s="24"/>
      <c r="AE7" s="24"/>
      <c r="AF7" s="24">
        <f>SUM(Majorette_Solo_MajoretteSolo_Junior[[#This Row],[Total]]-Majorette_Solo_MajoretteSolo_Junior[[#This Row],[Low]]-Majorette_Solo_MajoretteSolo_Junior[[#This Row],[High]])</f>
        <v>34</v>
      </c>
      <c r="AG7" s="24">
        <f t="shared" si="0"/>
        <v>19.5</v>
      </c>
      <c r="AH7" s="25">
        <f>Majorette_Solo_MajoretteSolo_Junior[[#This Row],[Final Total]]</f>
        <v>34</v>
      </c>
      <c r="AI7" s="26">
        <f>COUNTIFS(Majorette_Solo_MajoretteSolo_Junior[Age
Division],Majorette_Solo_MajoretteSolo_Junior[[#This Row],[Age
Division]],Majorette_Solo_MajoretteSolo_Junior[Category],Majorette_Solo_MajoretteSolo_Junior[[#This Row],[Category]],Majorette_Solo_MajoretteSolo_Junior[FINAL SCORE],"&gt;"&amp;Majorette_Solo_MajoretteSolo_Junior[[#This Row],[FINAL SCORE]])+1</f>
        <v>6</v>
      </c>
      <c r="AJ7" s="16" t="s">
        <v>33</v>
      </c>
    </row>
  </sheetData>
  <sheetProtection algorithmName="SHA-512" hashValue="ghf08rTBdvC1adRnk0Sv8sx19Ia6qnEK0daYK6wO1NFefDvuY3mfR/uR6kO5IQOjtuBrfgh7Ae19J/mbVLiDxw==" saltValue="y/xVzt8nW8p5eOCsn8gLtA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12F5B-AA1A-4A7E-9C20-B40E02B457FC}">
  <dimension ref="A1:BC2"/>
  <sheetViews>
    <sheetView zoomScale="80" zoomScaleNormal="80" workbookViewId="0">
      <pane xSplit="8" topLeftCell="I1" activePane="topRight" state="frozen"/>
      <selection activeCell="R26" sqref="R26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22.109375" style="29" customWidth="1"/>
    <col min="4" max="4" width="12.5546875" style="30" customWidth="1"/>
    <col min="5" max="5" width="16.33203125" style="30" hidden="1" customWidth="1"/>
    <col min="6" max="6" width="26.5546875" style="19" hidden="1" customWidth="1"/>
    <col min="7" max="7" width="42.6640625" style="19" customWidth="1"/>
    <col min="8" max="8" width="14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17</v>
      </c>
      <c r="B2" s="17"/>
      <c r="C2" s="17" t="s">
        <v>131</v>
      </c>
      <c r="D2" s="17" t="s">
        <v>27</v>
      </c>
      <c r="E2" s="17"/>
      <c r="F2" s="17"/>
      <c r="G2" s="17" t="s">
        <v>60</v>
      </c>
      <c r="H2" s="19" t="s">
        <v>25</v>
      </c>
      <c r="I2" s="20">
        <v>75</v>
      </c>
      <c r="J2" s="21">
        <v>4.5</v>
      </c>
      <c r="K2" s="22">
        <f>Majorette_Group_ModernMajoretteGroup_Junior[[#This Row],[Judge 1
Tamara Beljak]]-J2</f>
        <v>70.5</v>
      </c>
      <c r="L2" s="23">
        <f>COUNTIFS(Majorette_Group_ModernMajoretteGroup_Junior[Age
Division],Majorette_Group_ModernMajoretteGroup_Junior[[#This Row],[Age
Division]],Majorette_Group_ModernMajoretteGroup_Junior[Category],Majorette_Group_ModernMajoretteGroup_Junior[[#This Row],[Category]],Majorette_Group_ModernMajoretteGroup_Junior[J1 TOTAL],"&gt;"&amp;Majorette_Group_ModernMajoretteGroup_Junior[[#This Row],[J1 TOTAL]])+1</f>
        <v>1</v>
      </c>
      <c r="M2" s="20">
        <v>74.5</v>
      </c>
      <c r="N2" s="21">
        <v>4.5</v>
      </c>
      <c r="O2" s="22">
        <f>Majorette_Group_ModernMajoretteGroup_Junior[[#This Row],[Judge 2
Tihomir Bendelja]]-Majorette_Group_ModernMajoretteGroup_Junior[[#This Row],[J2 (-)]]</f>
        <v>70</v>
      </c>
      <c r="P2" s="23">
        <f>COUNTIFS(Majorette_Group_ModernMajoretteGroup_Junior[Age
Division],Majorette_Group_ModernMajoretteGroup_Junior[[#This Row],[Age
Division]],Majorette_Group_ModernMajoretteGroup_Junior[Category],Majorette_Group_ModernMajoretteGroup_Junior[[#This Row],[Category]],Majorette_Group_ModernMajoretteGroup_Junior[J2 TOTAL],"&gt;"&amp;Majorette_Group_ModernMajoretteGroup_Junior[[#This Row],[J2 TOTAL]])+1</f>
        <v>1</v>
      </c>
      <c r="Q2" s="20">
        <v>75.8</v>
      </c>
      <c r="R2" s="21">
        <v>4.5</v>
      </c>
      <c r="S2" s="22">
        <f>Majorette_Group_ModernMajoretteGroup_Junior[[#This Row],[Judge 3
Tea Softić]]-R2</f>
        <v>71.3</v>
      </c>
      <c r="T2" s="23">
        <f>COUNTIFS(Majorette_Group_ModernMajoretteGroup_Junior[Age
Division],Majorette_Group_ModernMajoretteGroup_Junior[[#This Row],[Age
Division]],Majorette_Group_ModernMajoretteGroup_Junior[Category],Majorette_Group_ModernMajoretteGroup_Junior[[#This Row],[Category]],Majorette_Group_ModernMajoretteGroup_Junior[J3 TOTAL],"&gt;"&amp;Majorette_Group_ModernMajoretteGroup_Junior[[#This Row],[J3 TOTAL]])+1</f>
        <v>1</v>
      </c>
      <c r="U2" s="20">
        <v>76.599999999999994</v>
      </c>
      <c r="V2" s="21">
        <v>4</v>
      </c>
      <c r="W2" s="22">
        <f>Majorette_Group_ModernMajoretteGroup_Junior[[#This Row],[Judge 4
Bernard Barač]]-V2</f>
        <v>72.599999999999994</v>
      </c>
      <c r="X2" s="23">
        <f>COUNTIFS(Majorette_Group_ModernMajoretteGroup_Junior[Age
Division],Majorette_Group_ModernMajoretteGroup_Junior[[#This Row],[Age
Division]],Majorette_Group_ModernMajoretteGroup_Junior[Category],Majorette_Group_ModernMajoretteGroup_Junior[[#This Row],[Category]],Majorette_Group_ModernMajoretteGroup_Junior[J4 TOTAL],"&gt;"&amp;Majorette_Group_ModernMajoretteGroup_Junior[[#This Row],[J4 TOTAL]])+1</f>
        <v>1</v>
      </c>
      <c r="Y2" s="20">
        <v>73.5</v>
      </c>
      <c r="Z2" s="21">
        <v>4.5</v>
      </c>
      <c r="AA2" s="22">
        <f>Majorette_Group_ModernMajoretteGroup_Junior[[#This Row],[Judge 5
Barbara Novina]]-Z2</f>
        <v>69</v>
      </c>
      <c r="AB2" s="23">
        <f>COUNTIFS(Majorette_Group_ModernMajoretteGroup_Junior[Age
Division],Majorette_Group_ModernMajoretteGroup_Junior[[#This Row],[Age
Division]],Majorette_Group_ModernMajoretteGroup_Junior[Category],Majorette_Group_ModernMajoretteGroup_Junior[[#This Row],[Category]],Majorette_Group_ModernMajoretteGroup_Junior[J5 TOTAL],"&gt;"&amp;Majorette_Group_ModernMajoretteGroup_Junior[[#This Row],[J5 TOTAL]])+1</f>
        <v>1</v>
      </c>
      <c r="AC2" s="24">
        <f>SUM(Majorette_Group_ModernMajoretteGroup_Junior[[#This Row],[J1 TOTAL]]+Majorette_Group_ModernMajoretteGroup_Junior[[#This Row],[J2 TOTAL]]+Majorette_Group_ModernMajoretteGroup_Junior[[#This Row],[J3 TOTAL]]+Majorette_Group_ModernMajoretteGroup_Junior[[#This Row],[J4 TOTAL]])+Majorette_Group_ModernMajoretteGroup_Junior[[#This Row],[J5 TOTAL]]</f>
        <v>353.4</v>
      </c>
      <c r="AD2" s="24">
        <f>MIN(Majorette_Group_ModernMajoretteGroup_Junior[[#This Row],[J1 TOTAL]],Majorette_Group_ModernMajoretteGroup_Junior[[#This Row],[J2 TOTAL]],Majorette_Group_ModernMajoretteGroup_Junior[[#This Row],[J3 TOTAL]],Majorette_Group_ModernMajoretteGroup_Junior[[#This Row],[J4 TOTAL]],Majorette_Group_ModernMajoretteGroup_Junior[[#This Row],[J5 TOTAL]])</f>
        <v>69</v>
      </c>
      <c r="AE2" s="24">
        <f>MAX(Majorette_Group_ModernMajoretteGroup_Junior[[#This Row],[J1 TOTAL]],Majorette_Group_ModernMajoretteGroup_Junior[[#This Row],[J2 TOTAL]],Majorette_Group_ModernMajoretteGroup_Junior[[#This Row],[J3 TOTAL]],Majorette_Group_ModernMajoretteGroup_Junior[[#This Row],[J4 TOTAL]],Majorette_Group_ModernMajoretteGroup_Junior[[#This Row],[J5 TOTAL]],)</f>
        <v>72.599999999999994</v>
      </c>
      <c r="AF2" s="24">
        <f>SUM(Majorette_Group_ModernMajoretteGroup_Junior[[#This Row],[Total]]-Majorette_Group_ModernMajoretteGroup_Junior[[#This Row],[Low]]-Majorette_Group_ModernMajoretteGroup_Junior[[#This Row],[High]])</f>
        <v>211.79999999999998</v>
      </c>
      <c r="AG2" s="24">
        <f>AVERAGE(I2,M2,Q2,U2,Y2)</f>
        <v>75.08</v>
      </c>
      <c r="AH2" s="25">
        <f>Majorette_Group_ModernMajoretteGroup_Junior[[#This Row],[Final Total]]</f>
        <v>211.79999999999998</v>
      </c>
      <c r="AI2" s="28">
        <f>COUNTIFS(Majorette_Group_ModernMajoretteGroup_Junior[Age
Division],Majorette_Group_ModernMajoretteGroup_Junior[[#This Row],[Age
Division]],Majorette_Group_ModernMajoretteGroup_Junior[Category],Majorette_Group_ModernMajoretteGroup_Junior[[#This Row],[Category]],Majorette_Group_ModernMajoretteGroup_Junior[FINAL SCORE],"&gt;"&amp;Majorette_Group_ModernMajoretteGroup_Junior[[#This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omUIERYGkZqx6zwMff6f/jNEU+057cfvUsbtn+lV3LJj4S9RgxwvzkK0mPoXfFwvDsBcFLhhC241Rp5e271zlA==" saltValue="c9glLZjAKgPTZhZqo42EAw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8E793-98F5-40DE-8570-ECE06AEF66A2}">
  <dimension ref="A1:BC2"/>
  <sheetViews>
    <sheetView zoomScale="80" zoomScaleNormal="80" workbookViewId="0">
      <pane xSplit="8" topLeftCell="S1" activePane="topRight" state="frozen"/>
      <selection activeCell="R26" sqref="R26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22.109375" style="29" customWidth="1"/>
    <col min="4" max="4" width="12.5546875" style="30" customWidth="1"/>
    <col min="5" max="5" width="16.33203125" style="30" hidden="1" customWidth="1"/>
    <col min="6" max="6" width="26.5546875" style="19" hidden="1" customWidth="1"/>
    <col min="7" max="7" width="38.88671875" style="19" customWidth="1"/>
    <col min="8" max="8" width="14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15</v>
      </c>
      <c r="B2" s="17"/>
      <c r="C2" s="17" t="s">
        <v>132</v>
      </c>
      <c r="D2" s="17" t="s">
        <v>27</v>
      </c>
      <c r="E2" s="17"/>
      <c r="F2" s="17"/>
      <c r="G2" s="17" t="s">
        <v>32</v>
      </c>
      <c r="H2" s="19" t="s">
        <v>25</v>
      </c>
      <c r="I2" s="20">
        <v>64</v>
      </c>
      <c r="J2" s="21">
        <v>0.5</v>
      </c>
      <c r="K2" s="22">
        <f>Majorette_Group_PomponTeam_Junior[[#This Row],[Judge 1
Tamara Beljak]]-J2</f>
        <v>63.5</v>
      </c>
      <c r="L2" s="23">
        <f>COUNTIFS(Majorette_Group_PomponTeam_Junior[Age
Division],Majorette_Group_PomponTeam_Junior[[#This Row],[Age
Division]],Majorette_Group_PomponTeam_Junior[Category],Majorette_Group_PomponTeam_Junior[[#This Row],[Category]],Majorette_Group_PomponTeam_Junior[J1 TOTAL],"&gt;"&amp;Majorette_Group_PomponTeam_Junior[[#This Row],[J1 TOTAL]])+1</f>
        <v>1</v>
      </c>
      <c r="M2" s="20">
        <v>64.400000000000006</v>
      </c>
      <c r="N2" s="21">
        <v>0.5</v>
      </c>
      <c r="O2" s="22">
        <f>Majorette_Group_PomponTeam_Junior[[#This Row],[Judge 2
Tihomir Bendelja]]-Majorette_Group_PomponTeam_Junior[[#This Row],[J2 (-)]]</f>
        <v>63.900000000000006</v>
      </c>
      <c r="P2" s="23">
        <f>COUNTIFS(Majorette_Group_PomponTeam_Junior[Age
Division],Majorette_Group_PomponTeam_Junior[[#This Row],[Age
Division]],Majorette_Group_PomponTeam_Junior[Category],Majorette_Group_PomponTeam_Junior[[#This Row],[Category]],Majorette_Group_PomponTeam_Junior[J2 TOTAL],"&gt;"&amp;Majorette_Group_PomponTeam_Junior[[#This Row],[J2 TOTAL]])+1</f>
        <v>1</v>
      </c>
      <c r="Q2" s="20">
        <v>63.6</v>
      </c>
      <c r="R2" s="21">
        <v>0.5</v>
      </c>
      <c r="S2" s="22">
        <f>Majorette_Group_PomponTeam_Junior[[#This Row],[Judge 3
Tea Softić]]-R2</f>
        <v>63.1</v>
      </c>
      <c r="T2" s="23">
        <f>COUNTIFS(Majorette_Group_PomponTeam_Junior[Age
Division],Majorette_Group_PomponTeam_Junior[[#This Row],[Age
Division]],Majorette_Group_PomponTeam_Junior[Category],Majorette_Group_PomponTeam_Junior[[#This Row],[Category]],Majorette_Group_PomponTeam_Junior[J3 TOTAL],"&gt;"&amp;Majorette_Group_PomponTeam_Junior[[#This Row],[J3 TOTAL]])+1</f>
        <v>1</v>
      </c>
      <c r="U2" s="20">
        <v>65.900000000000006</v>
      </c>
      <c r="V2" s="21">
        <v>0.5</v>
      </c>
      <c r="W2" s="22">
        <f>Majorette_Group_PomponTeam_Junior[[#This Row],[Judge 4
Bernard Barač]]-V2</f>
        <v>65.400000000000006</v>
      </c>
      <c r="X2" s="23">
        <f>COUNTIFS(Majorette_Group_PomponTeam_Junior[Age
Division],Majorette_Group_PomponTeam_Junior[[#This Row],[Age
Division]],Majorette_Group_PomponTeam_Junior[Category],Majorette_Group_PomponTeam_Junior[[#This Row],[Category]],Majorette_Group_PomponTeam_Junior[J4 TOTAL],"&gt;"&amp;Majorette_Group_PomponTeam_Junior[[#This Row],[J4 TOTAL]])+1</f>
        <v>1</v>
      </c>
      <c r="Y2" s="20">
        <v>60</v>
      </c>
      <c r="Z2" s="21">
        <v>0.5</v>
      </c>
      <c r="AA2" s="22">
        <f>Majorette_Group_PomponTeam_Junior[[#This Row],[Judge 5
Barbara Novina]]-Z2</f>
        <v>59.5</v>
      </c>
      <c r="AB2" s="23">
        <f>COUNTIFS(Majorette_Group_PomponTeam_Junior[Age
Division],Majorette_Group_PomponTeam_Junior[[#This Row],[Age
Division]],Majorette_Group_PomponTeam_Junior[Category],Majorette_Group_PomponTeam_Junior[[#This Row],[Category]],Majorette_Group_PomponTeam_Junior[J5 TOTAL],"&gt;"&amp;Majorette_Group_PomponTeam_Junior[[#This Row],[J5 TOTAL]])+1</f>
        <v>1</v>
      </c>
      <c r="AC2" s="24">
        <f>SUM(Majorette_Group_PomponTeam_Junior[[#This Row],[J1 TOTAL]]+Majorette_Group_PomponTeam_Junior[[#This Row],[J2 TOTAL]]+Majorette_Group_PomponTeam_Junior[[#This Row],[J3 TOTAL]]+Majorette_Group_PomponTeam_Junior[[#This Row],[J4 TOTAL]])+Majorette_Group_PomponTeam_Junior[[#This Row],[J5 TOTAL]]</f>
        <v>315.39999999999998</v>
      </c>
      <c r="AD2" s="24">
        <f>MIN(Majorette_Group_PomponTeam_Junior[[#This Row],[J1 TOTAL]],Majorette_Group_PomponTeam_Junior[[#This Row],[J2 TOTAL]],Majorette_Group_PomponTeam_Junior[[#This Row],[J3 TOTAL]],Majorette_Group_PomponTeam_Junior[[#This Row],[J4 TOTAL]],Majorette_Group_PomponTeam_Junior[[#This Row],[J5 TOTAL]])</f>
        <v>59.5</v>
      </c>
      <c r="AE2" s="24">
        <f>MAX(Majorette_Group_PomponTeam_Junior[[#This Row],[J1 TOTAL]],Majorette_Group_PomponTeam_Junior[[#This Row],[J2 TOTAL]],Majorette_Group_PomponTeam_Junior[[#This Row],[J3 TOTAL]],Majorette_Group_PomponTeam_Junior[[#This Row],[J4 TOTAL]],Majorette_Group_PomponTeam_Junior[[#This Row],[J5 TOTAL]],)</f>
        <v>65.400000000000006</v>
      </c>
      <c r="AF2" s="24">
        <f>SUM(Majorette_Group_PomponTeam_Junior[[#This Row],[Total]]-Majorette_Group_PomponTeam_Junior[[#This Row],[Low]]-Majorette_Group_PomponTeam_Junior[[#This Row],[High]])</f>
        <v>190.49999999999997</v>
      </c>
      <c r="AG2" s="24">
        <f>AVERAGE(I2,M2,Q2,U2,Y2)</f>
        <v>63.58</v>
      </c>
      <c r="AH2" s="25">
        <f>Majorette_Group_PomponTeam_Junior[[#This Row],[Final Total]]</f>
        <v>190.49999999999997</v>
      </c>
      <c r="AI2" s="28">
        <f>COUNTIFS(Majorette_Group_PomponTeam_Junior[Age
Division],Majorette_Group_PomponTeam_Junior[[#This Row],[Age
Division]],Majorette_Group_PomponTeam_Junior[Category],Majorette_Group_PomponTeam_Junior[[#This Row],[Category]],Majorette_Group_PomponTeam_Junior[FINAL SCORE],"&gt;"&amp;Majorette_Group_PomponTeam_Junior[[#This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Zp/sAu8dPtS9zVPxDWKgaeN9M5UD2HNRDoa4/utkbmf3b5zkYg8ArgmfCqP3y3WVnE03Tu5sHgpQrN6XCfAv4w==" saltValue="VRq/Q1/VBxYBICkWDOLfTw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2B909-3EA7-46B5-80A3-8AD082CBC187}">
  <dimension ref="A1:BC2"/>
  <sheetViews>
    <sheetView zoomScale="80" zoomScaleNormal="80" workbookViewId="0">
      <pane xSplit="8" topLeftCell="I1" activePane="topRight" state="frozen"/>
      <selection activeCell="R26" sqref="R26"/>
      <selection pane="topRight" activeCell="N2" sqref="N2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1.6640625" style="29" customWidth="1"/>
    <col min="4" max="4" width="9.77734375" style="30" customWidth="1"/>
    <col min="5" max="5" width="16.33203125" style="30" hidden="1" customWidth="1"/>
    <col min="6" max="6" width="26.5546875" style="19" hidden="1" customWidth="1"/>
    <col min="7" max="7" width="46.5546875" style="19" customWidth="1"/>
    <col min="8" max="8" width="9.44140625" style="19" customWidth="1"/>
    <col min="9" max="24" width="9.109375" style="19" customWidth="1"/>
    <col min="25" max="28" width="9.109375" style="19" hidden="1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56</v>
      </c>
      <c r="B2" s="17"/>
      <c r="C2" s="17" t="s">
        <v>134</v>
      </c>
      <c r="D2" s="17" t="s">
        <v>23</v>
      </c>
      <c r="E2" s="17"/>
      <c r="F2" s="17"/>
      <c r="G2" s="17" t="s">
        <v>24</v>
      </c>
      <c r="H2" s="19" t="s">
        <v>25</v>
      </c>
      <c r="I2" s="20">
        <v>63.5</v>
      </c>
      <c r="J2" s="21">
        <v>1.5</v>
      </c>
      <c r="K2" s="22">
        <f>Majorette_Group_GroupMix_Cadet[[#This Row],[Judge 1
Tamara Beljak]]-J2</f>
        <v>62</v>
      </c>
      <c r="L2" s="23">
        <f>COUNTIFS(Majorette_Group_GroupMix_Cadet[Age
Division],Majorette_Group_GroupMix_Cadet[[#This Row],[Age
Division]],Majorette_Group_GroupMix_Cadet[Category],Majorette_Group_GroupMix_Cadet[[#This Row],[Category]],Majorette_Group_GroupMix_Cadet[J1 TOTAL],"&gt;"&amp;Majorette_Group_GroupMix_Cadet[[#This Row],[J1 TOTAL]])+1</f>
        <v>1</v>
      </c>
      <c r="M2" s="20">
        <v>64.5</v>
      </c>
      <c r="N2" s="21">
        <v>1.5</v>
      </c>
      <c r="O2" s="22">
        <f>Majorette_Group_GroupMix_Cadet[[#This Row],[Judge 2
Tihomir Bendelja]]-Majorette_Group_GroupMix_Cadet[[#This Row],[J2 (-)]]</f>
        <v>63</v>
      </c>
      <c r="P2" s="23">
        <f>COUNTIFS(Majorette_Group_GroupMix_Cadet[Age
Division],Majorette_Group_GroupMix_Cadet[[#This Row],[Age
Division]],Majorette_Group_GroupMix_Cadet[Category],Majorette_Group_GroupMix_Cadet[[#This Row],[Category]],Majorette_Group_GroupMix_Cadet[J2 TOTAL],"&gt;"&amp;Majorette_Group_GroupMix_Cadet[[#This Row],[J2 TOTAL]])+1</f>
        <v>1</v>
      </c>
      <c r="Q2" s="20">
        <v>64.400000000000006</v>
      </c>
      <c r="R2" s="21">
        <v>1.5</v>
      </c>
      <c r="S2" s="22">
        <f>Majorette_Group_GroupMix_Cadet[[#This Row],[Judge 3
Tea Softić]]-R2</f>
        <v>62.900000000000006</v>
      </c>
      <c r="T2" s="23">
        <f>COUNTIFS(Majorette_Group_GroupMix_Cadet[Age
Division],Majorette_Group_GroupMix_Cadet[[#This Row],[Age
Division]],Majorette_Group_GroupMix_Cadet[Category],Majorette_Group_GroupMix_Cadet[[#This Row],[Category]],Majorette_Group_GroupMix_Cadet[J3 TOTAL],"&gt;"&amp;Majorette_Group_GroupMix_Cadet[[#This Row],[J3 TOTAL]])+1</f>
        <v>1</v>
      </c>
      <c r="U2" s="20">
        <v>62.8</v>
      </c>
      <c r="V2" s="21">
        <v>1.5</v>
      </c>
      <c r="W2" s="22">
        <f>Majorette_Group_GroupMix_Cadet[[#This Row],[Judge 4
Bernard Barač]]-V2</f>
        <v>61.3</v>
      </c>
      <c r="X2" s="23">
        <f>COUNTIFS(Majorette_Group_GroupMix_Cadet[Age
Division],Majorette_Group_GroupMix_Cadet[[#This Row],[Age
Division]],Majorette_Group_GroupMix_Cadet[Category],Majorette_Group_GroupMix_Cadet[[#This Row],[Category]],Majorette_Group_GroupMix_Cadet[J4 TOTAL],"&gt;"&amp;Majorette_Group_GroupMix_Cadet[[#This Row],[J4 TOTAL]])+1</f>
        <v>1</v>
      </c>
      <c r="Y2" s="20"/>
      <c r="Z2" s="21"/>
      <c r="AA2" s="22">
        <f>Majorette_Group_GroupMix_Cadet[[#This Row],[Judge 5
Barbara Novina]]-Z2</f>
        <v>0</v>
      </c>
      <c r="AB2" s="23">
        <f>COUNTIFS(Majorette_Group_GroupMix_Cadet[Age
Division],Majorette_Group_GroupMix_Cadet[[#This Row],[Age
Division]],Majorette_Group_GroupMix_Cadet[Category],Majorette_Group_GroupMix_Cadet[[#This Row],[Category]],Majorette_Group_GroupMix_Cadet[J5 TOTAL],"&gt;"&amp;Majorette_Group_GroupMix_Cadet[[#This Row],[J5 TOTAL]])+1</f>
        <v>1</v>
      </c>
      <c r="AC2" s="24">
        <f>SUM(Majorette_Group_GroupMix_Cadet[[#This Row],[J1 TOTAL]]+Majorette_Group_GroupMix_Cadet[[#This Row],[J2 TOTAL]]+Majorette_Group_GroupMix_Cadet[[#This Row],[J3 TOTAL]]+Majorette_Group_GroupMix_Cadet[[#This Row],[J4 TOTAL]])+Majorette_Group_GroupMix_Cadet[[#This Row],[J5 TOTAL]]</f>
        <v>249.2</v>
      </c>
      <c r="AD2" s="24">
        <f>MIN(Majorette_Group_GroupMix_Cadet[[#This Row],[J1 TOTAL]],Majorette_Group_GroupMix_Cadet[[#This Row],[J2 TOTAL]],Majorette_Group_GroupMix_Cadet[[#This Row],[J3 TOTAL]],Majorette_Group_GroupMix_Cadet[[#This Row],[J4 TOTAL]])</f>
        <v>61.3</v>
      </c>
      <c r="AE2" s="24">
        <f>MAX(Majorette_Group_GroupMix_Cadet[[#This Row],[J1 TOTAL]],Majorette_Group_GroupMix_Cadet[[#This Row],[J2 TOTAL]],Majorette_Group_GroupMix_Cadet[[#This Row],[J3 TOTAL]],Majorette_Group_GroupMix_Cadet[[#This Row],[J4 TOTAL]],Majorette_Group_GroupMix_Cadet[[#This Row],[J5 TOTAL]],)</f>
        <v>63</v>
      </c>
      <c r="AF2" s="24">
        <f>SUM(Majorette_Group_GroupMix_Cadet[[#This Row],[Total]]-Majorette_Group_GroupMix_Cadet[[#This Row],[Low]]-Majorette_Group_GroupMix_Cadet[[#This Row],[High]])</f>
        <v>124.89999999999998</v>
      </c>
      <c r="AG2" s="24">
        <f>AVERAGE(I2,M2,Q2,U2,Y2)</f>
        <v>63.8</v>
      </c>
      <c r="AH2" s="25">
        <f>Majorette_Group_GroupMix_Cadet[[#This Row],[Final Total]]</f>
        <v>124.89999999999998</v>
      </c>
      <c r="AI2" s="28">
        <f>COUNTIFS(Majorette_Group_GroupMix_Cadet[Age
Division],Majorette_Group_GroupMix_Cadet[[#This Row],[Age
Division]],Majorette_Group_GroupMix_Cadet[Category],Majorette_Group_GroupMix_Cadet[[#This Row],[Category]],Majorette_Group_GroupMix_Cadet[FINAL SCORE],"&gt;"&amp;Majorette_Group_GroupMix_Cadet[[#This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FRx/hpICl+GfaVsEM4p7Tc/sJA2NRICbMy0SuyOqDh9OFZ/uzhGOH1yJUdP3MAzySJ9/aavGGa/bElCbu5nHLQ==" saltValue="7XWKpFQehHOxuwTj+SL22g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2AC4A-EE2F-4A49-82F9-A83C3B126C15}">
  <dimension ref="A1:BC2"/>
  <sheetViews>
    <sheetView zoomScale="80" zoomScaleNormal="80" workbookViewId="0">
      <pane xSplit="8" topLeftCell="I1" activePane="topRight" state="frozen"/>
      <selection activeCell="R26" sqref="R26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4.21875" style="29" customWidth="1"/>
    <col min="4" max="4" width="6.33203125" style="30" customWidth="1"/>
    <col min="5" max="5" width="16.33203125" style="30" hidden="1" customWidth="1"/>
    <col min="6" max="6" width="26.5546875" style="19" hidden="1" customWidth="1"/>
    <col min="7" max="7" width="37.77734375" style="19" customWidth="1"/>
    <col min="8" max="8" width="9.21875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51</v>
      </c>
      <c r="B2" s="17"/>
      <c r="C2" s="17" t="s">
        <v>133</v>
      </c>
      <c r="D2" s="17" t="s">
        <v>127</v>
      </c>
      <c r="E2" s="17"/>
      <c r="F2" s="17"/>
      <c r="G2" s="17" t="s">
        <v>93</v>
      </c>
      <c r="H2" s="19" t="s">
        <v>25</v>
      </c>
      <c r="I2" s="20">
        <v>64.8</v>
      </c>
      <c r="J2" s="21">
        <v>0.5</v>
      </c>
      <c r="K2" s="22">
        <f>Majorette_Group_PomponGroup_Mini[[#This Row],[Judge 1
Tamara Beljak]]-J2</f>
        <v>64.3</v>
      </c>
      <c r="L2" s="23">
        <f>COUNTIFS(Majorette_Group_PomponGroup_Mini[Age
Division],Majorette_Group_PomponGroup_Mini[[#This Row],[Age
Division]],Majorette_Group_PomponGroup_Mini[Category],Majorette_Group_PomponGroup_Mini[[#This Row],[Category]],Majorette_Group_PomponGroup_Mini[J1 TOTAL],"&gt;"&amp;Majorette_Group_PomponGroup_Mini[[#This Row],[J1 TOTAL]])+1</f>
        <v>1</v>
      </c>
      <c r="M2" s="20">
        <v>65.3</v>
      </c>
      <c r="N2" s="21">
        <v>0.5</v>
      </c>
      <c r="O2" s="22">
        <f>Majorette_Group_PomponGroup_Mini[[#This Row],[Judge 2
Tihomir Bendelja]]-Majorette_Group_PomponGroup_Mini[[#This Row],[J2 (-)]]</f>
        <v>64.8</v>
      </c>
      <c r="P2" s="23">
        <f>COUNTIFS(Majorette_Group_PomponGroup_Mini[Age
Division],Majorette_Group_PomponGroup_Mini[[#This Row],[Age
Division]],Majorette_Group_PomponGroup_Mini[Category],Majorette_Group_PomponGroup_Mini[[#This Row],[Category]],Majorette_Group_PomponGroup_Mini[J2 TOTAL],"&gt;"&amp;Majorette_Group_PomponGroup_Mini[[#This Row],[J2 TOTAL]])+1</f>
        <v>1</v>
      </c>
      <c r="Q2" s="20">
        <v>65.400000000000006</v>
      </c>
      <c r="R2" s="21">
        <v>0.5</v>
      </c>
      <c r="S2" s="22">
        <f>Majorette_Group_PomponGroup_Mini[[#This Row],[Judge 3
Tea Softić]]-R2</f>
        <v>64.900000000000006</v>
      </c>
      <c r="T2" s="23">
        <f>COUNTIFS(Majorette_Group_PomponGroup_Mini[Age
Division],Majorette_Group_PomponGroup_Mini[[#This Row],[Age
Division]],Majorette_Group_PomponGroup_Mini[Category],Majorette_Group_PomponGroup_Mini[[#This Row],[Category]],Majorette_Group_PomponGroup_Mini[J3 TOTAL],"&gt;"&amp;Majorette_Group_PomponGroup_Mini[[#This Row],[J3 TOTAL]])+1</f>
        <v>1</v>
      </c>
      <c r="U2" s="20">
        <v>58.1</v>
      </c>
      <c r="V2" s="21">
        <v>0.5</v>
      </c>
      <c r="W2" s="22">
        <f>Majorette_Group_PomponGroup_Mini[[#This Row],[Judge 4
Bernard Barač]]-V2</f>
        <v>57.6</v>
      </c>
      <c r="X2" s="23">
        <f>COUNTIFS(Majorette_Group_PomponGroup_Mini[Age
Division],Majorette_Group_PomponGroup_Mini[[#This Row],[Age
Division]],Majorette_Group_PomponGroup_Mini[Category],Majorette_Group_PomponGroup_Mini[[#This Row],[Category]],Majorette_Group_PomponGroup_Mini[J4 TOTAL],"&gt;"&amp;Majorette_Group_PomponGroup_Mini[[#This Row],[J4 TOTAL]])+1</f>
        <v>1</v>
      </c>
      <c r="Y2" s="20">
        <v>53</v>
      </c>
      <c r="Z2" s="21">
        <v>0.5</v>
      </c>
      <c r="AA2" s="22">
        <f>Majorette_Group_PomponGroup_Mini[[#This Row],[Judge 5
Barbara Novina]]-Z2</f>
        <v>52.5</v>
      </c>
      <c r="AB2" s="23">
        <f>COUNTIFS(Majorette_Group_PomponGroup_Mini[Age
Division],Majorette_Group_PomponGroup_Mini[[#This Row],[Age
Division]],Majorette_Group_PomponGroup_Mini[Category],Majorette_Group_PomponGroup_Mini[[#This Row],[Category]],Majorette_Group_PomponGroup_Mini[J5 TOTAL],"&gt;"&amp;Majorette_Group_PomponGroup_Mini[[#This Row],[J5 TOTAL]])+1</f>
        <v>1</v>
      </c>
      <c r="AC2" s="24">
        <f>SUM(Majorette_Group_PomponGroup_Mini[[#This Row],[J1 TOTAL]]+Majorette_Group_PomponGroup_Mini[[#This Row],[J2 TOTAL]]+Majorette_Group_PomponGroup_Mini[[#This Row],[J3 TOTAL]]+Majorette_Group_PomponGroup_Mini[[#This Row],[J4 TOTAL]])+Majorette_Group_PomponGroup_Mini[[#This Row],[J5 TOTAL]]</f>
        <v>304.10000000000002</v>
      </c>
      <c r="AD2" s="16">
        <f>MIN(Majorette_Group_PomponGroup_Mini[[#This Row],[J1 TOTAL]],Majorette_Group_PomponGroup_Mini[[#This Row],[J2 TOTAL]],Majorette_Group_PomponGroup_Mini[[#This Row],[J3 TOTAL]],Majorette_Group_PomponGroup_Mini[[#This Row],[J4 TOTAL]],Majorette_Group_PomponGroup_Mini[[#This Row],[J5 TOTAL]])</f>
        <v>52.5</v>
      </c>
      <c r="AE2" s="24">
        <f>MAX(Majorette_Group_PomponGroup_Mini[[#This Row],[J1 TOTAL]],Majorette_Group_PomponGroup_Mini[[#This Row],[J2 TOTAL]],Majorette_Group_PomponGroup_Mini[[#This Row],[J3 TOTAL]],Majorette_Group_PomponGroup_Mini[[#This Row],[J4 TOTAL]],Majorette_Group_PomponGroup_Mini[[#This Row],[J5 TOTAL]],)</f>
        <v>64.900000000000006</v>
      </c>
      <c r="AF2" s="24">
        <f>SUM(Majorette_Group_PomponGroup_Mini[[#This Row],[Total]]-Majorette_Group_PomponGroup_Mini[[#This Row],[Low]]-Majorette_Group_PomponGroup_Mini[[#This Row],[High]])</f>
        <v>186.70000000000002</v>
      </c>
      <c r="AG2" s="24">
        <f>AVERAGE(I2,M2,Q2,U2,Y2)</f>
        <v>61.320000000000007</v>
      </c>
      <c r="AH2" s="25">
        <f>Majorette_Group_PomponGroup_Mini[[#This Row],[Final Total]]</f>
        <v>186.70000000000002</v>
      </c>
      <c r="AI2" s="28">
        <f>COUNTIFS(Majorette_Group_PomponGroup_Mini[Age
Division],Majorette_Group_PomponGroup_Mini[[#This Row],[Age
Division]],Majorette_Group_PomponGroup_Mini[Category],Majorette_Group_PomponGroup_Mini[[#This Row],[Category]],Majorette_Group_PomponGroup_Mini[FINAL SCORE],"&gt;"&amp;Majorette_Group_PomponGroup_Mini[[#This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2ycytHycnIIAy3QSQCSaYxI4+quUFKwBPeV+SNIPqsdUFHl+loUNJ8v2XRwwrMMUon8qZNKvtE7dWuF0XoGqrA==" saltValue="6yjzPiIWUG5kvaXKInQogw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F0436-6242-4C7B-9775-D38366A2E429}">
  <dimension ref="A1:BC4"/>
  <sheetViews>
    <sheetView zoomScale="80" zoomScaleNormal="80" workbookViewId="0">
      <pane xSplit="8" topLeftCell="I1" activePane="topRight" state="frozen"/>
      <selection activeCell="H25" sqref="H25"/>
      <selection pane="topRight" activeCell="K4" sqref="K4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22.109375" style="29" customWidth="1"/>
    <col min="4" max="4" width="12.5546875" style="30" customWidth="1"/>
    <col min="5" max="5" width="16.33203125" style="30" hidden="1" customWidth="1"/>
    <col min="6" max="6" width="26.5546875" style="19" hidden="1" customWidth="1"/>
    <col min="7" max="7" width="43.21875" style="19" customWidth="1"/>
    <col min="8" max="8" width="14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60</v>
      </c>
      <c r="B2" s="17"/>
      <c r="C2" s="17" t="s">
        <v>133</v>
      </c>
      <c r="D2" s="17" t="s">
        <v>30</v>
      </c>
      <c r="E2" s="18"/>
      <c r="F2" s="17"/>
      <c r="G2" s="17" t="s">
        <v>67</v>
      </c>
      <c r="H2" s="19" t="s">
        <v>25</v>
      </c>
      <c r="I2" s="20">
        <v>71.5</v>
      </c>
      <c r="J2" s="21">
        <v>0</v>
      </c>
      <c r="K2" s="22">
        <f>Majorette_Group_PomponGroup_Children[[#This Row],[Judge 1
Tamara Beljak]]-J2</f>
        <v>71.5</v>
      </c>
      <c r="L2" s="23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Row],[Category]],Majorette_Group_PomponGroup_Children[J1 TOTAL],"&gt;"&amp;Majorette_Group_PomponGroup_Children[[#This Row],[J1 TOTAL]])+1</f>
        <v>1</v>
      </c>
      <c r="M2" s="20">
        <v>68.5</v>
      </c>
      <c r="N2" s="21">
        <v>0</v>
      </c>
      <c r="O2" s="22">
        <f>Majorette_Group_PomponGroup_Children[[#This Row],[Judge 2
Tihomir Bendelja]]-Majorette_Group_PomponGroup_Children[[#This Row],[J2 (-)]]</f>
        <v>68.5</v>
      </c>
      <c r="P2" s="23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Row],[Category]],Majorette_Group_PomponGroup_Children[J2 TOTAL],"&gt;"&amp;Majorette_Group_PomponGroup_Children[[#This Row],[J2 TOTAL]])+1</f>
        <v>1</v>
      </c>
      <c r="Q2" s="20">
        <v>66.3</v>
      </c>
      <c r="R2" s="21">
        <v>0</v>
      </c>
      <c r="S2" s="22">
        <f>Majorette_Group_PomponGroup_Children[[#This Row],[Judge 3
Tea Softić]]-R2</f>
        <v>66.3</v>
      </c>
      <c r="T2" s="23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Row],[Category]],Majorette_Group_PomponGroup_Children[J3 TOTAL],"&gt;"&amp;Majorette_Group_PomponGroup_Children[[#This Row],[J3 TOTAL]])+1</f>
        <v>1</v>
      </c>
      <c r="U2" s="20">
        <v>65.7</v>
      </c>
      <c r="V2" s="21">
        <v>0</v>
      </c>
      <c r="W2" s="22">
        <f>Majorette_Group_PomponGroup_Children[[#This Row],[Judge 4
Bernard Barač]]-V2</f>
        <v>65.7</v>
      </c>
      <c r="X2" s="23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Row],[Category]],Majorette_Group_PomponGroup_Children[J4 TOTAL],"&gt;"&amp;Majorette_Group_PomponGroup_Children[[#This Row],[J4 TOTAL]])+1</f>
        <v>1</v>
      </c>
      <c r="Y2" s="20">
        <v>64.599999999999994</v>
      </c>
      <c r="Z2" s="21">
        <v>0</v>
      </c>
      <c r="AA2" s="22">
        <f>Majorette_Group_PomponGroup_Children[[#This Row],[Judge 5
Barbara Novina]]-Z2</f>
        <v>64.599999999999994</v>
      </c>
      <c r="AB2" s="23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Row],[Category]],Majorette_Group_PomponGroup_Children[J5 TOTAL],"&gt;"&amp;Majorette_Group_PomponGroup_Children[[#This Row],[J5 TOTAL]])+1</f>
        <v>1</v>
      </c>
      <c r="AC2" s="24">
        <f>SUM(Majorette_Group_PomponGroup_Children[[#This Row],[J1 TOTAL]]+Majorette_Group_PomponGroup_Children[[#This Row],[J2 TOTAL]]+Majorette_Group_PomponGroup_Children[[#This Row],[J3 TOTAL]]+Majorette_Group_PomponGroup_Children[[#This Row],[J4 TOTAL]])+Majorette_Group_PomponGroup_Children[[#This Row],[J5 TOTAL]]</f>
        <v>336.6</v>
      </c>
      <c r="AD2" s="24">
        <f>MIN(Majorette_Group_PomponGroup_Children[[#This Row],[J1 TOTAL]],Majorette_Group_PomponGroup_Children[[#This Row],[J2 TOTAL]],Majorette_Group_PomponGroup_Children[[#This Row],[J3 TOTAL]],Majorette_Group_PomponGroup_Children[[#This Row],[J4 TOTAL]],Majorette_Group_PomponGroup_Children[[#This Row],[J5 TOTAL]])</f>
        <v>64.599999999999994</v>
      </c>
      <c r="AE2" s="24">
        <f>MAX(Majorette_Group_PomponGroup_Children[[#This Row],[J1 TOTAL]],Majorette_Group_PomponGroup_Children[[#This Row],[J2 TOTAL]],Majorette_Group_PomponGroup_Children[[#This Row],[J3 TOTAL]],Majorette_Group_PomponGroup_Children[[#This Row],[J4 TOTAL]],Majorette_Group_PomponGroup_Children[[#This Row],[J5 TOTAL]],)</f>
        <v>71.5</v>
      </c>
      <c r="AF2" s="24">
        <f>SUM(Majorette_Group_PomponGroup_Children[[#This Row],[Total]]-Majorette_Group_PomponGroup_Children[[#This Row],[Low]]-Majorette_Group_PomponGroup_Children[[#This Row],[High]])</f>
        <v>200.5</v>
      </c>
      <c r="AG2" s="24">
        <f>AVERAGE(I2,M2,Q2,U2,Y2)</f>
        <v>67.320000000000007</v>
      </c>
      <c r="AH2" s="25">
        <f>Majorette_Group_PomponGroup_Children[[#This Row],[Final Total]]</f>
        <v>200.5</v>
      </c>
      <c r="AI2" s="26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Row],[Category]],Majorette_Group_PomponGroup_Children[FINAL SCORE],"&gt;"&amp;Majorette_Group_PomponGroup_Children[[#This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58</v>
      </c>
      <c r="B3" s="17"/>
      <c r="C3" s="17" t="s">
        <v>133</v>
      </c>
      <c r="D3" s="17" t="s">
        <v>30</v>
      </c>
      <c r="E3" s="17"/>
      <c r="F3" s="17"/>
      <c r="G3" s="27" t="s">
        <v>110</v>
      </c>
      <c r="H3" s="19" t="s">
        <v>28</v>
      </c>
      <c r="I3" s="20">
        <v>65.7</v>
      </c>
      <c r="J3" s="21">
        <v>0</v>
      </c>
      <c r="K3" s="22">
        <f>Majorette_Group_PomponGroup_Children[[#This Row],[Judge 1
Tamara Beljak]]-J3</f>
        <v>65.7</v>
      </c>
      <c r="L3" s="23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Row],[Category]],Majorette_Group_PomponGroup_Children[J1 TOTAL],"&gt;"&amp;Majorette_Group_PomponGroup_Children[[#This Row],[J1 TOTAL]])+1</f>
        <v>2</v>
      </c>
      <c r="M3" s="20">
        <v>64.7</v>
      </c>
      <c r="N3" s="21">
        <v>0</v>
      </c>
      <c r="O3" s="22">
        <f>Majorette_Group_PomponGroup_Children[[#This Row],[Judge 2
Tihomir Bendelja]]-Majorette_Group_PomponGroup_Children[[#This Row],[J2 (-)]]</f>
        <v>64.7</v>
      </c>
      <c r="P3" s="23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Row],[Category]],Majorette_Group_PomponGroup_Children[J2 TOTAL],"&gt;"&amp;Majorette_Group_PomponGroup_Children[[#This Row],[J2 TOTAL]])+1</f>
        <v>2</v>
      </c>
      <c r="Q3" s="20">
        <v>66.099999999999994</v>
      </c>
      <c r="R3" s="21">
        <v>0</v>
      </c>
      <c r="S3" s="22">
        <f>Majorette_Group_PomponGroup_Children[[#This Row],[Judge 3
Tea Softić]]-R3</f>
        <v>66.099999999999994</v>
      </c>
      <c r="T3" s="23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Row],[Category]],Majorette_Group_PomponGroup_Children[J3 TOTAL],"&gt;"&amp;Majorette_Group_PomponGroup_Children[[#This Row],[J3 TOTAL]])+1</f>
        <v>2</v>
      </c>
      <c r="U3" s="20">
        <v>65.2</v>
      </c>
      <c r="V3" s="21">
        <v>0</v>
      </c>
      <c r="W3" s="22">
        <f>Majorette_Group_PomponGroup_Children[[#This Row],[Judge 4
Bernard Barač]]-V3</f>
        <v>65.2</v>
      </c>
      <c r="X3" s="23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Row],[Category]],Majorette_Group_PomponGroup_Children[J4 TOTAL],"&gt;"&amp;Majorette_Group_PomponGroup_Children[[#This Row],[J4 TOTAL]])+1</f>
        <v>2</v>
      </c>
      <c r="Y3" s="20">
        <v>63</v>
      </c>
      <c r="Z3" s="21">
        <v>0</v>
      </c>
      <c r="AA3" s="22">
        <f>Majorette_Group_PomponGroup_Children[[#This Row],[Judge 5
Barbara Novina]]-Z3</f>
        <v>63</v>
      </c>
      <c r="AB3" s="23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Row],[Category]],Majorette_Group_PomponGroup_Children[J5 TOTAL],"&gt;"&amp;Majorette_Group_PomponGroup_Children[[#This Row],[J5 TOTAL]])+1</f>
        <v>2</v>
      </c>
      <c r="AC3" s="24">
        <f>SUM(Majorette_Group_PomponGroup_Children[[#This Row],[J1 TOTAL]]+Majorette_Group_PomponGroup_Children[[#This Row],[J2 TOTAL]]+Majorette_Group_PomponGroup_Children[[#This Row],[J3 TOTAL]]+Majorette_Group_PomponGroup_Children[[#This Row],[J4 TOTAL]])+Majorette_Group_PomponGroup_Children[[#This Row],[J5 TOTAL]]</f>
        <v>324.7</v>
      </c>
      <c r="AD3" s="24">
        <f>MIN(Majorette_Group_PomponGroup_Children[[#This Row],[J1 TOTAL]],Majorette_Group_PomponGroup_Children[[#This Row],[J2 TOTAL]],Majorette_Group_PomponGroup_Children[[#This Row],[J3 TOTAL]],Majorette_Group_PomponGroup_Children[[#This Row],[J4 TOTAL]],Majorette_Group_PomponGroup_Children[[#This Row],[J5 TOTAL]])</f>
        <v>63</v>
      </c>
      <c r="AE3" s="24">
        <f>MAX(Majorette_Group_PomponGroup_Children[[#This Row],[J1 TOTAL]],Majorette_Group_PomponGroup_Children[[#This Row],[J2 TOTAL]],Majorette_Group_PomponGroup_Children[[#This Row],[J3 TOTAL]],Majorette_Group_PomponGroup_Children[[#This Row],[J4 TOTAL]],Majorette_Group_PomponGroup_Children[[#This Row],[J5 TOTAL]],)</f>
        <v>66.099999999999994</v>
      </c>
      <c r="AF3" s="24">
        <f>SUM(Majorette_Group_PomponGroup_Children[[#This Row],[Total]]-Majorette_Group_PomponGroup_Children[[#This Row],[Low]]-Majorette_Group_PomponGroup_Children[[#This Row],[High]])</f>
        <v>195.6</v>
      </c>
      <c r="AG3" s="24">
        <f>AVERAGE(I3,M3,Q3,U3,Y3)</f>
        <v>64.94</v>
      </c>
      <c r="AH3" s="25">
        <f>Majorette_Group_PomponGroup_Children[[#This Row],[Final Total]]</f>
        <v>195.6</v>
      </c>
      <c r="AI3" s="28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Row],[Category]],Majorette_Group_PomponGroup_Children[FINAL SCORE],"&gt;"&amp;Majorette_Group_PomponGroup_Children[[#This Row],[FINAL SCORE]])+1</f>
        <v>2</v>
      </c>
      <c r="AJ3" s="16" t="s">
        <v>26</v>
      </c>
    </row>
    <row r="4" spans="1:55" ht="15.6" x14ac:dyDescent="0.3">
      <c r="A4" s="16">
        <v>59</v>
      </c>
      <c r="B4" s="17"/>
      <c r="C4" s="17" t="s">
        <v>133</v>
      </c>
      <c r="D4" s="17" t="s">
        <v>30</v>
      </c>
      <c r="E4" s="18"/>
      <c r="F4" s="17"/>
      <c r="G4" s="17" t="s">
        <v>83</v>
      </c>
      <c r="H4" s="19" t="s">
        <v>28</v>
      </c>
      <c r="I4" s="20">
        <v>61.5</v>
      </c>
      <c r="J4" s="21">
        <v>0</v>
      </c>
      <c r="K4" s="22">
        <f>Majorette_Group_PomponGroup_Children[[#This Row],[Judge 1
Tamara Beljak]]-J4</f>
        <v>61.5</v>
      </c>
      <c r="L4" s="23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Row],[Category]],Majorette_Group_PomponGroup_Children[J1 TOTAL],"&gt;"&amp;Majorette_Group_PomponGroup_Children[[#This Row],[J1 TOTAL]])+1</f>
        <v>3</v>
      </c>
      <c r="M4" s="20">
        <v>61</v>
      </c>
      <c r="N4" s="21">
        <v>0</v>
      </c>
      <c r="O4" s="22">
        <f>Majorette_Group_PomponGroup_Children[[#This Row],[Judge 2
Tihomir Bendelja]]-Majorette_Group_PomponGroup_Children[[#This Row],[J2 (-)]]</f>
        <v>61</v>
      </c>
      <c r="P4" s="23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Row],[Category]],Majorette_Group_PomponGroup_Children[J2 TOTAL],"&gt;"&amp;Majorette_Group_PomponGroup_Children[[#This Row],[J2 TOTAL]])+1</f>
        <v>3</v>
      </c>
      <c r="Q4" s="20">
        <v>65.400000000000006</v>
      </c>
      <c r="R4" s="21">
        <v>0</v>
      </c>
      <c r="S4" s="22">
        <f>Majorette_Group_PomponGroup_Children[[#This Row],[Judge 3
Tea Softić]]-R4</f>
        <v>65.400000000000006</v>
      </c>
      <c r="T4" s="23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Row],[Category]],Majorette_Group_PomponGroup_Children[J3 TOTAL],"&gt;"&amp;Majorette_Group_PomponGroup_Children[[#This Row],[J3 TOTAL]])+1</f>
        <v>3</v>
      </c>
      <c r="U4" s="20">
        <v>65.099999999999994</v>
      </c>
      <c r="V4" s="21">
        <v>0</v>
      </c>
      <c r="W4" s="22">
        <f>Majorette_Group_PomponGroup_Children[[#This Row],[Judge 4
Bernard Barač]]-V4</f>
        <v>65.099999999999994</v>
      </c>
      <c r="X4" s="23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Row],[Category]],Majorette_Group_PomponGroup_Children[J4 TOTAL],"&gt;"&amp;Majorette_Group_PomponGroup_Children[[#This Row],[J4 TOTAL]])+1</f>
        <v>3</v>
      </c>
      <c r="Y4" s="20">
        <v>61</v>
      </c>
      <c r="Z4" s="21">
        <v>0</v>
      </c>
      <c r="AA4" s="22">
        <f>Majorette_Group_PomponGroup_Children[[#This Row],[Judge 5
Barbara Novina]]-Z4</f>
        <v>61</v>
      </c>
      <c r="AB4" s="23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Row],[Category]],Majorette_Group_PomponGroup_Children[J5 TOTAL],"&gt;"&amp;Majorette_Group_PomponGroup_Children[[#This Row],[J5 TOTAL]])+1</f>
        <v>3</v>
      </c>
      <c r="AC4" s="24">
        <f>SUM(Majorette_Group_PomponGroup_Children[[#This Row],[J1 TOTAL]]+Majorette_Group_PomponGroup_Children[[#This Row],[J2 TOTAL]]+Majorette_Group_PomponGroup_Children[[#This Row],[J3 TOTAL]]+Majorette_Group_PomponGroup_Children[[#This Row],[J4 TOTAL]])+Majorette_Group_PomponGroup_Children[[#This Row],[J5 TOTAL]]</f>
        <v>314</v>
      </c>
      <c r="AD4" s="24">
        <f>MIN(Majorette_Group_PomponGroup_Children[[#This Row],[J1 TOTAL]],Majorette_Group_PomponGroup_Children[[#This Row],[J2 TOTAL]],Majorette_Group_PomponGroup_Children[[#This Row],[J3 TOTAL]],Majorette_Group_PomponGroup_Children[[#This Row],[J4 TOTAL]],Majorette_Group_PomponGroup_Children[[#This Row],[J5 TOTAL]])</f>
        <v>61</v>
      </c>
      <c r="AE4" s="24">
        <f>MAX(Majorette_Group_PomponGroup_Children[[#This Row],[J1 TOTAL]],Majorette_Group_PomponGroup_Children[[#This Row],[J2 TOTAL]],Majorette_Group_PomponGroup_Children[[#This Row],[J3 TOTAL]],Majorette_Group_PomponGroup_Children[[#This Row],[J4 TOTAL]],Majorette_Group_PomponGroup_Children[[#This Row],[J5 TOTAL]],)</f>
        <v>65.400000000000006</v>
      </c>
      <c r="AF4" s="24">
        <f>SUM(Majorette_Group_PomponGroup_Children[[#This Row],[Total]]-Majorette_Group_PomponGroup_Children[[#This Row],[Low]]-Majorette_Group_PomponGroup_Children[[#This Row],[High]])</f>
        <v>187.6</v>
      </c>
      <c r="AG4" s="24">
        <f>AVERAGE(I4,M4,Q4,U4,Y4)</f>
        <v>62.8</v>
      </c>
      <c r="AH4" s="25">
        <f>Majorette_Group_PomponGroup_Children[[#This Row],[Final Total]]</f>
        <v>187.6</v>
      </c>
      <c r="AI4" s="26">
        <f>COUNTIFS(Majorette_Group_PomponGroup_Children[Age
Division],Majorette_Group_PomponGroup_Children[[#This Row],[Age
Division]],Majorette_Group_PomponGroup_Children[Category],Majorette_Group_PomponGroup_Children[[#This Row],[Category]],Majorette_Group_PomponGroup_Children[FINAL SCORE],"&gt;"&amp;Majorette_Group_PomponGroup_Children[[#This Row],[FINAL SCORE]])+1</f>
        <v>3</v>
      </c>
      <c r="AJ4" s="16" t="s">
        <v>26</v>
      </c>
    </row>
  </sheetData>
  <sheetProtection algorithmName="SHA-512" hashValue="egxLS8hYc6+TCMVXMsXJbyC7OTIeS0gi/eC3f5yEOYBjzlsKA5b7g6oBZ1Oh5d9kuuTESG6n5NC44mpSDUThSQ==" saltValue="55NDdgQV8r08snQQed06lA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31694-0168-4456-8B2C-A65170DB5983}">
  <dimension ref="A1:BC2"/>
  <sheetViews>
    <sheetView zoomScale="80" zoomScaleNormal="80" workbookViewId="0">
      <pane xSplit="8" topLeftCell="I1" activePane="topRight" state="frozen"/>
      <selection activeCell="H25" sqref="H25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4.77734375" style="29" customWidth="1"/>
    <col min="4" max="4" width="9.6640625" style="30" customWidth="1"/>
    <col min="5" max="5" width="16.33203125" style="30" hidden="1" customWidth="1"/>
    <col min="6" max="6" width="26.5546875" style="19" hidden="1" customWidth="1"/>
    <col min="7" max="7" width="44.21875" style="19" customWidth="1"/>
    <col min="8" max="8" width="9.6640625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61</v>
      </c>
      <c r="B2" s="17"/>
      <c r="C2" s="17" t="s">
        <v>133</v>
      </c>
      <c r="D2" s="17" t="s">
        <v>23</v>
      </c>
      <c r="E2" s="17"/>
      <c r="F2" s="17"/>
      <c r="G2" s="17" t="s">
        <v>128</v>
      </c>
      <c r="H2" s="19" t="s">
        <v>28</v>
      </c>
      <c r="I2" s="20">
        <v>66.5</v>
      </c>
      <c r="J2" s="21">
        <v>0</v>
      </c>
      <c r="K2" s="22">
        <f>Majorette_Group_PomponGroup_Cadet[[#This Row],[Judge 1
Tamara Beljak]]-J2</f>
        <v>66.5</v>
      </c>
      <c r="L2" s="23">
        <f>COUNTIFS(Majorette_Group_PomponGroup_Cadet[Age
Division],Majorette_Group_PomponGroup_Cadet[[#This Row],[Age
Division]],Majorette_Group_PomponGroup_Cadet[Category],Majorette_Group_PomponGroup_Cadet[[#This Row],[Category]],Majorette_Group_PomponGroup_Cadet[J1 TOTAL],"&gt;"&amp;Majorette_Group_PomponGroup_Cadet[[#This Row],[J1 TOTAL]])+1</f>
        <v>1</v>
      </c>
      <c r="M2" s="20">
        <v>64.2</v>
      </c>
      <c r="N2" s="21">
        <v>0</v>
      </c>
      <c r="O2" s="22">
        <f>Majorette_Group_PomponGroup_Cadet[[#This Row],[Judge 2
Tihomir Bendelja]]-Majorette_Group_PomponGroup_Cadet[[#This Row],[J2 (-)]]</f>
        <v>64.2</v>
      </c>
      <c r="P2" s="23">
        <f>COUNTIFS(Majorette_Group_PomponGroup_Cadet[Age
Division],Majorette_Group_PomponGroup_Cadet[[#This Row],[Age
Division]],Majorette_Group_PomponGroup_Cadet[Category],Majorette_Group_PomponGroup_Cadet[[#This Row],[Category]],Majorette_Group_PomponGroup_Cadet[J2 TOTAL],"&gt;"&amp;Majorette_Group_PomponGroup_Cadet[[#This Row],[J2 TOTAL]])+1</f>
        <v>1</v>
      </c>
      <c r="Q2" s="20">
        <v>64.900000000000006</v>
      </c>
      <c r="R2" s="21">
        <v>0</v>
      </c>
      <c r="S2" s="22">
        <f>Majorette_Group_PomponGroup_Cadet[[#This Row],[Judge 3
Tea Softić]]-R2</f>
        <v>64.900000000000006</v>
      </c>
      <c r="T2" s="23">
        <f>COUNTIFS(Majorette_Group_PomponGroup_Cadet[Age
Division],Majorette_Group_PomponGroup_Cadet[[#This Row],[Age
Division]],Majorette_Group_PomponGroup_Cadet[Category],Majorette_Group_PomponGroup_Cadet[[#This Row],[Category]],Majorette_Group_PomponGroup_Cadet[J3 TOTAL],"&gt;"&amp;Majorette_Group_PomponGroup_Cadet[[#This Row],[J3 TOTAL]])+1</f>
        <v>1</v>
      </c>
      <c r="U2" s="20">
        <v>66.400000000000006</v>
      </c>
      <c r="V2" s="21">
        <v>0</v>
      </c>
      <c r="W2" s="22">
        <f>Majorette_Group_PomponGroup_Cadet[[#This Row],[Judge 4
Bernard Barač]]-V2</f>
        <v>66.400000000000006</v>
      </c>
      <c r="X2" s="23">
        <f>COUNTIFS(Majorette_Group_PomponGroup_Cadet[Age
Division],Majorette_Group_PomponGroup_Cadet[[#This Row],[Age
Division]],Majorette_Group_PomponGroup_Cadet[Category],Majorette_Group_PomponGroup_Cadet[[#This Row],[Category]],Majorette_Group_PomponGroup_Cadet[J4 TOTAL],"&gt;"&amp;Majorette_Group_PomponGroup_Cadet[[#This Row],[J4 TOTAL]])+1</f>
        <v>1</v>
      </c>
      <c r="Y2" s="20">
        <v>63.6</v>
      </c>
      <c r="Z2" s="21">
        <v>0</v>
      </c>
      <c r="AA2" s="22">
        <f>Majorette_Group_PomponGroup_Cadet[[#This Row],[Judge 5
Barbara Novina]]-Z2</f>
        <v>63.6</v>
      </c>
      <c r="AB2" s="23">
        <f>COUNTIFS(Majorette_Group_PomponGroup_Cadet[Age
Division],Majorette_Group_PomponGroup_Cadet[[#This Row],[Age
Division]],Majorette_Group_PomponGroup_Cadet[Category],Majorette_Group_PomponGroup_Cadet[[#This Row],[Category]],Majorette_Group_PomponGroup_Cadet[J5 TOTAL],"&gt;"&amp;Majorette_Group_PomponGroup_Cadet[[#This Row],[J5 TOTAL]])+1</f>
        <v>1</v>
      </c>
      <c r="AC2" s="24">
        <f>SUM(Majorette_Group_PomponGroup_Cadet[[#This Row],[J1 TOTAL]]+Majorette_Group_PomponGroup_Cadet[[#This Row],[J2 TOTAL]]+Majorette_Group_PomponGroup_Cadet[[#This Row],[J3 TOTAL]]+Majorette_Group_PomponGroup_Cadet[[#This Row],[J4 TOTAL]])+Majorette_Group_PomponGroup_Cadet[[#This Row],[J5 TOTAL]]</f>
        <v>325.60000000000002</v>
      </c>
      <c r="AD2" s="24">
        <f>MIN(Majorette_Group_PomponGroup_Cadet[[#This Row],[J1 TOTAL]],Majorette_Group_PomponGroup_Cadet[[#This Row],[J2 TOTAL]],Majorette_Group_PomponGroup_Cadet[[#This Row],[J3 TOTAL]],Majorette_Group_PomponGroup_Cadet[[#This Row],[J4 TOTAL]],Majorette_Group_PomponGroup_Cadet[[#This Row],[J5 TOTAL]])</f>
        <v>63.6</v>
      </c>
      <c r="AE2" s="24">
        <f>MAX(Majorette_Group_PomponGroup_Cadet[[#This Row],[J1 TOTAL]],Majorette_Group_PomponGroup_Cadet[[#This Row],[J2 TOTAL]],Majorette_Group_PomponGroup_Cadet[[#This Row],[J3 TOTAL]],Majorette_Group_PomponGroup_Cadet[[#This Row],[J4 TOTAL]],Majorette_Group_PomponGroup_Cadet[[#This Row],[J5 TOTAL]],)</f>
        <v>66.5</v>
      </c>
      <c r="AF2" s="24">
        <f>SUM(Majorette_Group_PomponGroup_Cadet[[#This Row],[Total]]-Majorette_Group_PomponGroup_Cadet[[#This Row],[Low]]-Majorette_Group_PomponGroup_Cadet[[#This Row],[High]])</f>
        <v>195.5</v>
      </c>
      <c r="AG2" s="24">
        <f>AVERAGE(I2,M2,Q2,U2,Y2)</f>
        <v>65.12</v>
      </c>
      <c r="AH2" s="25">
        <f>Majorette_Group_PomponGroup_Cadet[[#This Row],[Final Total]]</f>
        <v>195.5</v>
      </c>
      <c r="AI2" s="28">
        <f>COUNTIFS(Majorette_Group_PomponGroup_Cadet[Age
Division],Majorette_Group_PomponGroup_Cadet[[#This Row],[Age
Division]],Majorette_Group_PomponGroup_Cadet[Category],Majorette_Group_PomponGroup_Cadet[[#This Row],[Category]],Majorette_Group_PomponGroup_Cadet[FINAL SCORE],"&gt;"&amp;Majorette_Group_PomponGroup_Cadet[[#This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3KJgw4eYiSvvvPGcU/+6SkgY6dBgrtAKlcJarxMN91ERH1fg+gJUZHSAMXOowhRXMGMgze+DYWhnqggJVqXQYA==" saltValue="BImy5aS1NkiXhqZ9ydDZPw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2BD21-83AE-4354-84D3-A594AA762B73}">
  <dimension ref="A1:BC2"/>
  <sheetViews>
    <sheetView zoomScale="80" zoomScaleNormal="80" workbookViewId="0">
      <pane xSplit="8" topLeftCell="I1" activePane="topRight" state="frozen"/>
      <selection activeCell="H25" sqref="H25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4.44140625" style="29" customWidth="1"/>
    <col min="4" max="4" width="10.21875" style="30" customWidth="1"/>
    <col min="5" max="5" width="16.33203125" style="30" hidden="1" customWidth="1"/>
    <col min="6" max="6" width="26.5546875" style="19" hidden="1" customWidth="1"/>
    <col min="7" max="7" width="36.88671875" style="19" customWidth="1"/>
    <col min="8" max="8" width="10.109375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62</v>
      </c>
      <c r="B2" s="17"/>
      <c r="C2" s="17" t="s">
        <v>133</v>
      </c>
      <c r="D2" s="17" t="s">
        <v>27</v>
      </c>
      <c r="E2" s="17"/>
      <c r="F2" s="17"/>
      <c r="G2" s="17" t="s">
        <v>32</v>
      </c>
      <c r="H2" s="19" t="s">
        <v>25</v>
      </c>
      <c r="I2" s="20">
        <v>71.400000000000006</v>
      </c>
      <c r="J2" s="21">
        <v>0.5</v>
      </c>
      <c r="K2" s="22">
        <f>Majorette_Group_PomponGroup_Junior[[#This Row],[Judge 1
Tamara Beljak]]-J2</f>
        <v>70.900000000000006</v>
      </c>
      <c r="L2" s="23">
        <f>COUNTIFS(Majorette_Group_PomponGroup_Junior[Age
Division],Majorette_Group_PomponGroup_Junior[[#This Row],[Age
Division]],Majorette_Group_PomponGroup_Junior[Category],Majorette_Group_PomponGroup_Junior[[#This Row],[Category]],Majorette_Group_PomponGroup_Junior[J1 TOTAL],"&gt;"&amp;Majorette_Group_PomponGroup_Junior[[#This Row],[J1 TOTAL]])+1</f>
        <v>1</v>
      </c>
      <c r="M2" s="20">
        <v>69.900000000000006</v>
      </c>
      <c r="N2" s="21">
        <v>0.5</v>
      </c>
      <c r="O2" s="22">
        <f>Majorette_Group_PomponGroup_Junior[[#This Row],[Judge 2
Tihomir Bendelja]]-Majorette_Group_PomponGroup_Junior[[#This Row],[J2 (-)]]</f>
        <v>69.400000000000006</v>
      </c>
      <c r="P2" s="23">
        <f>COUNTIFS(Majorette_Group_PomponGroup_Junior[Age
Division],Majorette_Group_PomponGroup_Junior[[#This Row],[Age
Division]],Majorette_Group_PomponGroup_Junior[Category],Majorette_Group_PomponGroup_Junior[[#This Row],[Category]],Majorette_Group_PomponGroup_Junior[J2 TOTAL],"&gt;"&amp;Majorette_Group_PomponGroup_Junior[[#This Row],[J2 TOTAL]])+1</f>
        <v>1</v>
      </c>
      <c r="Q2" s="20">
        <v>66.8</v>
      </c>
      <c r="R2" s="21">
        <v>0.5</v>
      </c>
      <c r="S2" s="22">
        <f>Majorette_Group_PomponGroup_Junior[[#This Row],[Judge 3
Tea Softić]]-R2</f>
        <v>66.3</v>
      </c>
      <c r="T2" s="23">
        <f>COUNTIFS(Majorette_Group_PomponGroup_Junior[Age
Division],Majorette_Group_PomponGroup_Junior[[#This Row],[Age
Division]],Majorette_Group_PomponGroup_Junior[Category],Majorette_Group_PomponGroup_Junior[[#This Row],[Category]],Majorette_Group_PomponGroup_Junior[J3 TOTAL],"&gt;"&amp;Majorette_Group_PomponGroup_Junior[[#This Row],[J3 TOTAL]])+1</f>
        <v>1</v>
      </c>
      <c r="U2" s="20">
        <v>65.8</v>
      </c>
      <c r="V2" s="21">
        <v>0.5</v>
      </c>
      <c r="W2" s="22">
        <f>Majorette_Group_PomponGroup_Junior[[#This Row],[Judge 4
Bernard Barač]]-V2</f>
        <v>65.3</v>
      </c>
      <c r="X2" s="23">
        <f>COUNTIFS(Majorette_Group_PomponGroup_Junior[Age
Division],Majorette_Group_PomponGroup_Junior[[#This Row],[Age
Division]],Majorette_Group_PomponGroup_Junior[Category],Majorette_Group_PomponGroup_Junior[[#This Row],[Category]],Majorette_Group_PomponGroup_Junior[J4 TOTAL],"&gt;"&amp;Majorette_Group_PomponGroup_Junior[[#This Row],[J4 TOTAL]])+1</f>
        <v>1</v>
      </c>
      <c r="Y2" s="20">
        <v>63.7</v>
      </c>
      <c r="Z2" s="21">
        <v>0.5</v>
      </c>
      <c r="AA2" s="22">
        <f>Majorette_Group_PomponGroup_Junior[[#This Row],[Judge 5
Barbara Novina]]-Z2</f>
        <v>63.2</v>
      </c>
      <c r="AB2" s="23">
        <f>COUNTIFS(Majorette_Group_PomponGroup_Junior[Age
Division],Majorette_Group_PomponGroup_Junior[[#This Row],[Age
Division]],Majorette_Group_PomponGroup_Junior[Category],Majorette_Group_PomponGroup_Junior[[#This Row],[Category]],Majorette_Group_PomponGroup_Junior[J5 TOTAL],"&gt;"&amp;Majorette_Group_PomponGroup_Junior[[#This Row],[J5 TOTAL]])+1</f>
        <v>1</v>
      </c>
      <c r="AC2" s="24">
        <f>SUM(Majorette_Group_PomponGroup_Junior[[#This Row],[J1 TOTAL]]+Majorette_Group_PomponGroup_Junior[[#This Row],[J2 TOTAL]]+Majorette_Group_PomponGroup_Junior[[#This Row],[J3 TOTAL]]+Majorette_Group_PomponGroup_Junior[[#This Row],[J4 TOTAL]])+Majorette_Group_PomponGroup_Junior[[#This Row],[J5 TOTAL]]</f>
        <v>335.1</v>
      </c>
      <c r="AD2" s="24">
        <f>MIN(Majorette_Group_PomponGroup_Junior[[#This Row],[J1 TOTAL]],Majorette_Group_PomponGroup_Junior[[#This Row],[J2 TOTAL]],Majorette_Group_PomponGroup_Junior[[#This Row],[J3 TOTAL]],Majorette_Group_PomponGroup_Junior[[#This Row],[J4 TOTAL]],Majorette_Group_PomponGroup_Junior[[#This Row],[J5 TOTAL]])</f>
        <v>63.2</v>
      </c>
      <c r="AE2" s="24">
        <f>MAX(Majorette_Group_PomponGroup_Junior[[#This Row],[J1 TOTAL]],Majorette_Group_PomponGroup_Junior[[#This Row],[J2 TOTAL]],Majorette_Group_PomponGroup_Junior[[#This Row],[J3 TOTAL]],Majorette_Group_PomponGroup_Junior[[#This Row],[J4 TOTAL]],Majorette_Group_PomponGroup_Junior[[#This Row],[J5 TOTAL]],)</f>
        <v>70.900000000000006</v>
      </c>
      <c r="AF2" s="24">
        <f>SUM(Majorette_Group_PomponGroup_Junior[[#This Row],[Total]]-Majorette_Group_PomponGroup_Junior[[#This Row],[Low]]-Majorette_Group_PomponGroup_Junior[[#This Row],[High]])</f>
        <v>201.00000000000003</v>
      </c>
      <c r="AG2" s="24">
        <f>AVERAGE(I2,M2,Q2,U2,Y2)</f>
        <v>67.52000000000001</v>
      </c>
      <c r="AH2" s="25">
        <f>Majorette_Group_PomponGroup_Junior[[#This Row],[Final Total]]</f>
        <v>201.00000000000003</v>
      </c>
      <c r="AI2" s="28">
        <f>COUNTIFS(Majorette_Group_PomponGroup_Junior[Age
Division],Majorette_Group_PomponGroup_Junior[[#This Row],[Age
Division]],Majorette_Group_PomponGroup_Junior[Category],Majorette_Group_PomponGroup_Junior[[#This Row],[Category]],Majorette_Group_PomponGroup_Junior[FINAL SCORE],"&gt;"&amp;Majorette_Group_PomponGroup_Junior[[#This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hknvt5I/CUMvhYbHhXrRES9CcWP2aKLU4/OSxe49Gkj0V3ntFZKSnlxzNHEZl2Z2mtMlAiyg5DU6HsmqzYuE8Q==" saltValue="abbIgXqjVjdeZGrmDb6rOQ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0DAE6-2EC3-4426-9C80-2F521EE8322C}">
  <dimension ref="A1:BC2"/>
  <sheetViews>
    <sheetView zoomScale="80" zoomScaleNormal="80" workbookViewId="0">
      <pane xSplit="8" topLeftCell="I1" activePane="topRight" state="frozen"/>
      <selection activeCell="R26" sqref="R26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3.109375" style="29" customWidth="1"/>
    <col min="4" max="4" width="6" style="30" customWidth="1"/>
    <col min="5" max="5" width="16.33203125" style="30" hidden="1" customWidth="1"/>
    <col min="6" max="6" width="26.5546875" style="19" hidden="1" customWidth="1"/>
    <col min="7" max="7" width="26.5546875" style="19" customWidth="1"/>
    <col min="8" max="8" width="10.77734375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52</v>
      </c>
      <c r="B2" s="17"/>
      <c r="C2" s="17" t="s">
        <v>135</v>
      </c>
      <c r="D2" s="17" t="s">
        <v>127</v>
      </c>
      <c r="E2" s="17"/>
      <c r="F2" s="17"/>
      <c r="G2" s="17" t="s">
        <v>126</v>
      </c>
      <c r="H2" s="19" t="s">
        <v>28</v>
      </c>
      <c r="I2" s="20">
        <v>60.7</v>
      </c>
      <c r="J2" s="21">
        <v>0.5</v>
      </c>
      <c r="K2" s="22">
        <f>Majorette_Group_ShowDance_Mini[[#This Row],[Judge 1
Tamara Beljak]]-J2</f>
        <v>60.2</v>
      </c>
      <c r="L2" s="23">
        <f>COUNTIFS(Majorette_Group_ShowDance_Mini[Age
Division],Majorette_Group_ShowDance_Mini[[#This Row],[Age
Division]],Majorette_Group_ShowDance_Mini[Category],Majorette_Group_ShowDance_Mini[[#This Row],[Category]],Majorette_Group_ShowDance_Mini[J1 TOTAL],"&gt;"&amp;Majorette_Group_ShowDance_Mini[[#This Row],[J1 TOTAL]])+1</f>
        <v>1</v>
      </c>
      <c r="M2" s="20">
        <v>60.5</v>
      </c>
      <c r="N2" s="21">
        <v>0.5</v>
      </c>
      <c r="O2" s="22">
        <f>Majorette_Group_ShowDance_Mini[[#This Row],[Judge 2
Tihomir Bendelja]]-Majorette_Group_ShowDance_Mini[[#This Row],[J2 (-)]]</f>
        <v>60</v>
      </c>
      <c r="P2" s="23">
        <f>COUNTIFS(Majorette_Group_ShowDance_Mini[Age
Division],Majorette_Group_ShowDance_Mini[[#This Row],[Age
Division]],Majorette_Group_ShowDance_Mini[Category],Majorette_Group_ShowDance_Mini[[#This Row],[Category]],Majorette_Group_ShowDance_Mini[J2 TOTAL],"&gt;"&amp;Majorette_Group_ShowDance_Mini[[#This Row],[J2 TOTAL]])+1</f>
        <v>1</v>
      </c>
      <c r="Q2" s="20">
        <v>60.7</v>
      </c>
      <c r="R2" s="21">
        <v>0.5</v>
      </c>
      <c r="S2" s="22">
        <f>Majorette_Group_ShowDance_Mini[[#This Row],[Judge 3
Tea Softić]]-R2</f>
        <v>60.2</v>
      </c>
      <c r="T2" s="23">
        <f>COUNTIFS(Majorette_Group_ShowDance_Mini[Age
Division],Majorette_Group_ShowDance_Mini[[#This Row],[Age
Division]],Majorette_Group_ShowDance_Mini[Category],Majorette_Group_ShowDance_Mini[[#This Row],[Category]],Majorette_Group_ShowDance_Mini[J3 TOTAL],"&gt;"&amp;Majorette_Group_ShowDance_Mini[[#This Row],[J3 TOTAL]])+1</f>
        <v>1</v>
      </c>
      <c r="U2" s="20">
        <v>58.5</v>
      </c>
      <c r="V2" s="21">
        <v>0.5</v>
      </c>
      <c r="W2" s="22">
        <f>Majorette_Group_ShowDance_Mini[[#This Row],[Judge 4
Bernard Barač]]-V2</f>
        <v>58</v>
      </c>
      <c r="X2" s="23">
        <f>COUNTIFS(Majorette_Group_ShowDance_Mini[Age
Division],Majorette_Group_ShowDance_Mini[[#This Row],[Age
Division]],Majorette_Group_ShowDance_Mini[Category],Majorette_Group_ShowDance_Mini[[#This Row],[Category]],Majorette_Group_ShowDance_Mini[J4 TOTAL],"&gt;"&amp;Majorette_Group_ShowDance_Mini[[#This Row],[J4 TOTAL]])+1</f>
        <v>1</v>
      </c>
      <c r="Y2" s="20">
        <v>53</v>
      </c>
      <c r="Z2" s="21">
        <v>0.5</v>
      </c>
      <c r="AA2" s="22">
        <f>Majorette_Group_ShowDance_Mini[[#This Row],[Judge 5
Barbara Novina]]-Z2</f>
        <v>52.5</v>
      </c>
      <c r="AB2" s="23">
        <f>COUNTIFS(Majorette_Group_ShowDance_Mini[Age
Division],Majorette_Group_ShowDance_Mini[[#This Row],[Age
Division]],Majorette_Group_ShowDance_Mini[Category],Majorette_Group_ShowDance_Mini[[#This Row],[Category]],Majorette_Group_ShowDance_Mini[J5 TOTAL],"&gt;"&amp;Majorette_Group_ShowDance_Mini[[#This Row],[J5 TOTAL]])+1</f>
        <v>1</v>
      </c>
      <c r="AC2" s="24">
        <f>SUM(Majorette_Group_ShowDance_Mini[[#This Row],[J1 TOTAL]]+Majorette_Group_ShowDance_Mini[[#This Row],[J2 TOTAL]]+Majorette_Group_ShowDance_Mini[[#This Row],[J3 TOTAL]]+Majorette_Group_ShowDance_Mini[[#This Row],[J4 TOTAL]])+Majorette_Group_ShowDance_Mini[[#This Row],[J5 TOTAL]]</f>
        <v>290.89999999999998</v>
      </c>
      <c r="AD2" s="24">
        <f>MIN(Majorette_Group_ShowDance_Mini[[#This Row],[J1 TOTAL]],Majorette_Group_ShowDance_Mini[[#This Row],[J2 TOTAL]],Majorette_Group_ShowDance_Mini[[#This Row],[J3 TOTAL]],Majorette_Group_ShowDance_Mini[[#This Row],[J4 TOTAL]],Majorette_Group_ShowDance_Mini[[#This Row],[J5 TOTAL]])</f>
        <v>52.5</v>
      </c>
      <c r="AE2" s="24">
        <f>MAX(Majorette_Group_ShowDance_Mini[[#This Row],[J1 TOTAL]],Majorette_Group_ShowDance_Mini[[#This Row],[J2 TOTAL]],Majorette_Group_ShowDance_Mini[[#This Row],[J3 TOTAL]],Majorette_Group_ShowDance_Mini[[#This Row],[J4 TOTAL]],Majorette_Group_ShowDance_Mini[[#This Row],[J5 TOTAL]],)</f>
        <v>60.2</v>
      </c>
      <c r="AF2" s="24">
        <f>SUM(Majorette_Group_ShowDance_Mini[[#This Row],[Total]]-Majorette_Group_ShowDance_Mini[[#This Row],[Low]]-Majorette_Group_ShowDance_Mini[[#This Row],[High]])</f>
        <v>178.2</v>
      </c>
      <c r="AG2" s="24">
        <f>AVERAGE(I2,M2,Q2,U2,Y2)</f>
        <v>58.679999999999993</v>
      </c>
      <c r="AH2" s="25">
        <f>Majorette_Group_ShowDance_Mini[[#This Row],[Final Total]]</f>
        <v>178.2</v>
      </c>
      <c r="AI2" s="28">
        <f>COUNTIFS(Majorette_Group_ShowDance_Mini[Age
Division],Majorette_Group_ShowDance_Mini[[#This Row],[Age
Division]],Majorette_Group_ShowDance_Mini[Category],Majorette_Group_ShowDance_Mini[[#This Row],[Category]],Majorette_Group_ShowDance_Mini[FINAL SCORE],"&gt;"&amp;Majorette_Group_ShowDance_Mini[[#This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THa8fCHjRBJ22qyhna52J75bjZeN5ZwmEe2RoMV2yta85P5M3aWRi2E5eqk5mrKIdnVbedmqePvIrGgeOoO1jw==" saltValue="D7/4Jo68qHnLjr3qErcGCw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F65C5-F609-48AB-B4B4-358EA1EE50E9}">
  <dimension ref="A1:BC2"/>
  <sheetViews>
    <sheetView zoomScale="80" zoomScaleNormal="80" workbookViewId="0">
      <pane xSplit="8" topLeftCell="I1" activePane="topRight" state="frozen"/>
      <selection activeCell="H2" sqref="H2"/>
      <selection pane="topRight" activeCell="L2" sqref="L2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2.33203125" style="29" customWidth="1"/>
    <col min="4" max="4" width="12.5546875" style="30" customWidth="1"/>
    <col min="5" max="5" width="16.33203125" style="30" hidden="1" customWidth="1"/>
    <col min="6" max="6" width="26.5546875" style="19" hidden="1" customWidth="1"/>
    <col min="7" max="7" width="39.109375" style="19" customWidth="1"/>
    <col min="8" max="8" width="14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57</v>
      </c>
      <c r="B2" s="17"/>
      <c r="C2" s="17" t="s">
        <v>135</v>
      </c>
      <c r="D2" s="17" t="s">
        <v>30</v>
      </c>
      <c r="E2" s="17"/>
      <c r="F2" s="17"/>
      <c r="G2" s="17" t="s">
        <v>93</v>
      </c>
      <c r="H2" s="19" t="s">
        <v>25</v>
      </c>
      <c r="I2" s="20">
        <v>63.1</v>
      </c>
      <c r="J2" s="21">
        <v>4.5</v>
      </c>
      <c r="K2" s="22">
        <f>Majorette_Group_ShowDance_Children[[#This Row],[Judge 1
Tamara Beljak]]-J2</f>
        <v>58.6</v>
      </c>
      <c r="L2" s="23">
        <f>COUNTIFS(Majorette_Group_ShowDance_Children[Age
Division],Majorette_Group_ShowDance_Children[[#This Row],[Age
Division]],Majorette_Group_ShowDance_Children[Category],Majorette_Group_ShowDance_Children[[#This Row],[Category]],Majorette_Group_ShowDance_Children[J1 TOTAL],"&gt;"&amp;Majorette_Group_ShowDance_Children[[#This Row],[J1 TOTAL]])+1</f>
        <v>1</v>
      </c>
      <c r="M2" s="20">
        <v>61.7</v>
      </c>
      <c r="N2" s="21">
        <v>4.5</v>
      </c>
      <c r="O2" s="22">
        <f>Majorette_Group_ShowDance_Children[[#This Row],[Judge 2
Tihomir Bendelja]]-Majorette_Group_ShowDance_Children[[#This Row],[J2 (-)]]</f>
        <v>57.2</v>
      </c>
      <c r="P2" s="23">
        <f>COUNTIFS(Majorette_Group_ShowDance_Children[Age
Division],Majorette_Group_ShowDance_Children[[#This Row],[Age
Division]],Majorette_Group_ShowDance_Children[Category],Majorette_Group_ShowDance_Children[[#This Row],[Category]],Majorette_Group_ShowDance_Children[J2 TOTAL],"&gt;"&amp;Majorette_Group_ShowDance_Children[[#This Row],[J2 TOTAL]])+1</f>
        <v>1</v>
      </c>
      <c r="Q2" s="20">
        <v>66.599999999999994</v>
      </c>
      <c r="R2" s="21">
        <v>4.5</v>
      </c>
      <c r="S2" s="22">
        <f>Majorette_Group_ShowDance_Children[[#This Row],[Judge 3
Tea Softić]]-R2</f>
        <v>62.099999999999994</v>
      </c>
      <c r="T2" s="23">
        <f>COUNTIFS(Majorette_Group_ShowDance_Children[Age
Division],Majorette_Group_ShowDance_Children[[#This Row],[Age
Division]],Majorette_Group_ShowDance_Children[Category],Majorette_Group_ShowDance_Children[[#This Row],[Category]],Majorette_Group_ShowDance_Children[J3 TOTAL],"&gt;"&amp;Majorette_Group_ShowDance_Children[[#This Row],[J3 TOTAL]])+1</f>
        <v>1</v>
      </c>
      <c r="U2" s="20">
        <v>61.7</v>
      </c>
      <c r="V2" s="21">
        <v>4.5</v>
      </c>
      <c r="W2" s="22">
        <f>Majorette_Group_ShowDance_Children[[#This Row],[Judge 4
Bernard Barač]]-V2</f>
        <v>57.2</v>
      </c>
      <c r="X2" s="23">
        <f>COUNTIFS(Majorette_Group_ShowDance_Children[Age
Division],Majorette_Group_ShowDance_Children[[#This Row],[Age
Division]],Majorette_Group_ShowDance_Children[Category],Majorette_Group_ShowDance_Children[[#This Row],[Category]],Majorette_Group_ShowDance_Children[J4 TOTAL],"&gt;"&amp;Majorette_Group_ShowDance_Children[[#This Row],[J4 TOTAL]])+1</f>
        <v>1</v>
      </c>
      <c r="Y2" s="20">
        <v>54</v>
      </c>
      <c r="Z2" s="21">
        <v>5</v>
      </c>
      <c r="AA2" s="22">
        <f>Majorette_Group_ShowDance_Children[[#This Row],[Judge 5
Barbara Novina]]-Z2</f>
        <v>49</v>
      </c>
      <c r="AB2" s="23">
        <f>COUNTIFS(Majorette_Group_ShowDance_Children[Age
Division],Majorette_Group_ShowDance_Children[[#This Row],[Age
Division]],Majorette_Group_ShowDance_Children[Category],Majorette_Group_ShowDance_Children[[#This Row],[Category]],Majorette_Group_ShowDance_Children[J5 TOTAL],"&gt;"&amp;Majorette_Group_ShowDance_Children[[#This Row],[J5 TOTAL]])+1</f>
        <v>1</v>
      </c>
      <c r="AC2" s="24">
        <f>SUM(Majorette_Group_ShowDance_Children[[#This Row],[J1 TOTAL]]+Majorette_Group_ShowDance_Children[[#This Row],[J2 TOTAL]]+Majorette_Group_ShowDance_Children[[#This Row],[J3 TOTAL]]+Majorette_Group_ShowDance_Children[[#This Row],[J4 TOTAL]])+Majorette_Group_ShowDance_Children[[#This Row],[J5 TOTAL]]</f>
        <v>284.10000000000002</v>
      </c>
      <c r="AD2" s="24">
        <f>MIN(Majorette_Group_ShowDance_Children[[#This Row],[J1 TOTAL]],Majorette_Group_ShowDance_Children[[#This Row],[J2 TOTAL]],Majorette_Group_ShowDance_Children[[#This Row],[J3 TOTAL]],Majorette_Group_ShowDance_Children[[#This Row],[J4 TOTAL]],Majorette_Group_ShowDance_Children[[#This Row],[J5 TOTAL]])</f>
        <v>49</v>
      </c>
      <c r="AE2" s="24">
        <f>MAX(Majorette_Group_ShowDance_Children[[#This Row],[J1 TOTAL]],Majorette_Group_ShowDance_Children[[#This Row],[J2 TOTAL]],Majorette_Group_ShowDance_Children[[#This Row],[J3 TOTAL]],Majorette_Group_ShowDance_Children[[#This Row],[J4 TOTAL]],Majorette_Group_ShowDance_Children[[#This Row],[J5 TOTAL]],)</f>
        <v>62.099999999999994</v>
      </c>
      <c r="AF2" s="24">
        <f>SUM(Majorette_Group_ShowDance_Children[[#This Row],[Total]]-Majorette_Group_ShowDance_Children[[#This Row],[Low]]-Majorette_Group_ShowDance_Children[[#This Row],[High]])</f>
        <v>173.00000000000003</v>
      </c>
      <c r="AG2" s="24">
        <f>AVERAGE(I2,M2,Q2,U2,Y2)</f>
        <v>61.42</v>
      </c>
      <c r="AH2" s="25">
        <f>Majorette_Group_ShowDance_Children[[#This Row],[Final Total]]</f>
        <v>173.00000000000003</v>
      </c>
      <c r="AI2" s="28">
        <f>COUNTIFS(Majorette_Group_ShowDance_Children[Age
Division],Majorette_Group_ShowDance_Children[[#This Row],[Age
Division]],Majorette_Group_ShowDance_Children[Category],Majorette_Group_ShowDance_Children[[#This Row],[Category]],Majorette_Group_ShowDance_Children[FINAL SCORE],"&gt;"&amp;Majorette_Group_ShowDance_Children[[#This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VGRRuthpOZoMsEQo7Gl185s+LJ+JiLL0FK+bFKpeBYKwTLN4mwvDl1c/oVNi7721y9THOiDj7UOv6aCF0P11hg==" saltValue="APtRfPSm1fG7Mmh6mJ/lXg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8787-A453-4D5D-968C-CF84BABBAE5A}">
  <dimension ref="A1:BC3"/>
  <sheetViews>
    <sheetView zoomScale="80" zoomScaleNormal="80" workbookViewId="0">
      <pane xSplit="8" topLeftCell="I1" activePane="topRight" state="frozen"/>
      <selection activeCell="H2" sqref="H2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1.6640625" style="29" customWidth="1"/>
    <col min="4" max="4" width="7.6640625" style="30" customWidth="1"/>
    <col min="5" max="5" width="16.33203125" style="30" hidden="1" customWidth="1"/>
    <col min="6" max="6" width="26.5546875" style="19" hidden="1" customWidth="1"/>
    <col min="7" max="7" width="38.6640625" style="19" customWidth="1"/>
    <col min="8" max="8" width="10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53</v>
      </c>
      <c r="B2" s="17"/>
      <c r="C2" s="17" t="s">
        <v>135</v>
      </c>
      <c r="D2" s="17" t="s">
        <v>23</v>
      </c>
      <c r="E2" s="17"/>
      <c r="F2" s="17"/>
      <c r="G2" s="17" t="s">
        <v>91</v>
      </c>
      <c r="H2" s="19" t="s">
        <v>28</v>
      </c>
      <c r="I2" s="20">
        <v>92</v>
      </c>
      <c r="J2" s="21">
        <v>3</v>
      </c>
      <c r="K2" s="22">
        <f>Majorette_Group_ShowDance_Cadet[[#This Row],[Judge 1
Tamara Beljak]]-J2</f>
        <v>89</v>
      </c>
      <c r="L2" s="23">
        <f>COUNTIFS(Majorette_Group_ShowDance_Cadet[Age
Division],Majorette_Group_ShowDance_Cadet[[#This Row],[Age
Division]],Majorette_Group_ShowDance_Cadet[Category],Majorette_Group_ShowDance_Cadet[[#This Row],[Category]],Majorette_Group_ShowDance_Cadet[J1 TOTAL],"&gt;"&amp;Majorette_Group_ShowDance_Cadet[[#This Row],[J1 TOTAL]])+1</f>
        <v>1</v>
      </c>
      <c r="M2" s="20">
        <v>91.8</v>
      </c>
      <c r="N2" s="21">
        <v>3</v>
      </c>
      <c r="O2" s="22">
        <f>Majorette_Group_ShowDance_Cadet[[#This Row],[Judge 2
Tihomir Bendelja]]-Majorette_Group_ShowDance_Cadet[[#This Row],[J2 (-)]]</f>
        <v>88.8</v>
      </c>
      <c r="P2" s="23">
        <f>COUNTIFS(Majorette_Group_ShowDance_Cadet[Age
Division],Majorette_Group_ShowDance_Cadet[[#This Row],[Age
Division]],Majorette_Group_ShowDance_Cadet[Category],Majorette_Group_ShowDance_Cadet[[#This Row],[Category]],Majorette_Group_ShowDance_Cadet[J2 TOTAL],"&gt;"&amp;Majorette_Group_ShowDance_Cadet[[#This Row],[J2 TOTAL]])+1</f>
        <v>1</v>
      </c>
      <c r="Q2" s="20">
        <v>89.5</v>
      </c>
      <c r="R2" s="21">
        <v>3</v>
      </c>
      <c r="S2" s="22">
        <f>Majorette_Group_ShowDance_Cadet[[#This Row],[Judge 3
Tea Softić]]-R2</f>
        <v>86.5</v>
      </c>
      <c r="T2" s="23">
        <f>COUNTIFS(Majorette_Group_ShowDance_Cadet[Age
Division],Majorette_Group_ShowDance_Cadet[[#This Row],[Age
Division]],Majorette_Group_ShowDance_Cadet[Category],Majorette_Group_ShowDance_Cadet[[#This Row],[Category]],Majorette_Group_ShowDance_Cadet[J3 TOTAL],"&gt;"&amp;Majorette_Group_ShowDance_Cadet[[#This Row],[J3 TOTAL]])+1</f>
        <v>1</v>
      </c>
      <c r="U2" s="20">
        <v>88</v>
      </c>
      <c r="V2" s="21">
        <v>3</v>
      </c>
      <c r="W2" s="22">
        <f>Majorette_Group_ShowDance_Cadet[[#This Row],[Judge 4
Bernard Barač]]-V2</f>
        <v>85</v>
      </c>
      <c r="X2" s="23">
        <f>COUNTIFS(Majorette_Group_ShowDance_Cadet[Age
Division],Majorette_Group_ShowDance_Cadet[[#This Row],[Age
Division]],Majorette_Group_ShowDance_Cadet[Category],Majorette_Group_ShowDance_Cadet[[#This Row],[Category]],Majorette_Group_ShowDance_Cadet[J4 TOTAL],"&gt;"&amp;Majorette_Group_ShowDance_Cadet[[#This Row],[J4 TOTAL]])+1</f>
        <v>1</v>
      </c>
      <c r="Y2" s="20">
        <v>86</v>
      </c>
      <c r="Z2" s="21">
        <v>3</v>
      </c>
      <c r="AA2" s="22">
        <f>Majorette_Group_ShowDance_Cadet[[#This Row],[Judge 5
Barbara Novina]]-Z2</f>
        <v>83</v>
      </c>
      <c r="AB2" s="23">
        <f>COUNTIFS(Majorette_Group_ShowDance_Cadet[Age
Division],Majorette_Group_ShowDance_Cadet[[#This Row],[Age
Division]],Majorette_Group_ShowDance_Cadet[Category],Majorette_Group_ShowDance_Cadet[[#This Row],[Category]],Majorette_Group_ShowDance_Cadet[J5 TOTAL],"&gt;"&amp;Majorette_Group_ShowDance_Cadet[[#This Row],[J5 TOTAL]])+1</f>
        <v>1</v>
      </c>
      <c r="AC2" s="24">
        <f>SUM(Majorette_Group_ShowDance_Cadet[[#This Row],[J1 TOTAL]]+Majorette_Group_ShowDance_Cadet[[#This Row],[J2 TOTAL]]+Majorette_Group_ShowDance_Cadet[[#This Row],[J3 TOTAL]]+Majorette_Group_ShowDance_Cadet[[#This Row],[J4 TOTAL]])+Majorette_Group_ShowDance_Cadet[[#This Row],[J5 TOTAL]]</f>
        <v>432.3</v>
      </c>
      <c r="AD2" s="24">
        <f>MIN(Majorette_Group_ShowDance_Cadet[[#This Row],[J1 TOTAL]],Majorette_Group_ShowDance_Cadet[[#This Row],[J2 TOTAL]],Majorette_Group_ShowDance_Cadet[[#This Row],[J3 TOTAL]],Majorette_Group_ShowDance_Cadet[[#This Row],[J4 TOTAL]],Majorette_Group_ShowDance_Cadet[[#This Row],[J5 TOTAL]])</f>
        <v>83</v>
      </c>
      <c r="AE2" s="24">
        <f>MAX(Majorette_Group_ShowDance_Cadet[[#This Row],[J1 TOTAL]],Majorette_Group_ShowDance_Cadet[[#This Row],[J2 TOTAL]],Majorette_Group_ShowDance_Cadet[[#This Row],[J3 TOTAL]],Majorette_Group_ShowDance_Cadet[[#This Row],[J4 TOTAL]],Majorette_Group_ShowDance_Cadet[[#This Row],[J5 TOTAL]],)</f>
        <v>89</v>
      </c>
      <c r="AF2" s="24">
        <f>SUM(Majorette_Group_ShowDance_Cadet[[#This Row],[Total]]-Majorette_Group_ShowDance_Cadet[[#This Row],[Low]]-Majorette_Group_ShowDance_Cadet[[#This Row],[High]])</f>
        <v>260.3</v>
      </c>
      <c r="AG2" s="24">
        <f>AVERAGE(I2,M2,Q2,U2,Y2)</f>
        <v>89.460000000000008</v>
      </c>
      <c r="AH2" s="25">
        <f>Majorette_Group_ShowDance_Cadet[[#This Row],[Final Total]]</f>
        <v>260.3</v>
      </c>
      <c r="AI2" s="28">
        <f>COUNTIFS(Majorette_Group_ShowDance_Cadet[Age
Division],Majorette_Group_ShowDance_Cadet[[#This Row],[Age
Division]],Majorette_Group_ShowDance_Cadet[Category],Majorette_Group_ShowDance_Cadet[[#This Row],[Category]],Majorette_Group_ShowDance_Cadet[FINAL SCORE],"&gt;"&amp;Majorette_Group_ShowDance_Cadet[[#This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54</v>
      </c>
      <c r="B3" s="17"/>
      <c r="C3" s="17" t="s">
        <v>135</v>
      </c>
      <c r="D3" s="17" t="s">
        <v>23</v>
      </c>
      <c r="E3" s="18"/>
      <c r="F3" s="17"/>
      <c r="G3" s="17" t="s">
        <v>93</v>
      </c>
      <c r="H3" s="19" t="s">
        <v>25</v>
      </c>
      <c r="I3" s="20">
        <v>83</v>
      </c>
      <c r="J3" s="21">
        <v>10</v>
      </c>
      <c r="K3" s="22">
        <f>Majorette_Group_ShowDance_Cadet[[#This Row],[Judge 1
Tamara Beljak]]-J3</f>
        <v>73</v>
      </c>
      <c r="L3" s="23">
        <f>COUNTIFS(Majorette_Group_ShowDance_Cadet[Age
Division],Majorette_Group_ShowDance_Cadet[[#This Row],[Age
Division]],Majorette_Group_ShowDance_Cadet[Category],Majorette_Group_ShowDance_Cadet[[#This Row],[Category]],Majorette_Group_ShowDance_Cadet[J1 TOTAL],"&gt;"&amp;Majorette_Group_ShowDance_Cadet[[#This Row],[J1 TOTAL]])+1</f>
        <v>2</v>
      </c>
      <c r="M3" s="20">
        <v>86</v>
      </c>
      <c r="N3" s="21">
        <v>10</v>
      </c>
      <c r="O3" s="22">
        <f>Majorette_Group_ShowDance_Cadet[[#This Row],[Judge 2
Tihomir Bendelja]]-Majorette_Group_ShowDance_Cadet[[#This Row],[J2 (-)]]</f>
        <v>76</v>
      </c>
      <c r="P3" s="23">
        <f>COUNTIFS(Majorette_Group_ShowDance_Cadet[Age
Division],Majorette_Group_ShowDance_Cadet[[#This Row],[Age
Division]],Majorette_Group_ShowDance_Cadet[Category],Majorette_Group_ShowDance_Cadet[[#This Row],[Category]],Majorette_Group_ShowDance_Cadet[J2 TOTAL],"&gt;"&amp;Majorette_Group_ShowDance_Cadet[[#This Row],[J2 TOTAL]])+1</f>
        <v>2</v>
      </c>
      <c r="Q3" s="20">
        <v>87.2</v>
      </c>
      <c r="R3" s="21">
        <v>10</v>
      </c>
      <c r="S3" s="22">
        <f>Majorette_Group_ShowDance_Cadet[[#This Row],[Judge 3
Tea Softić]]-R3</f>
        <v>77.2</v>
      </c>
      <c r="T3" s="23">
        <f>COUNTIFS(Majorette_Group_ShowDance_Cadet[Age
Division],Majorette_Group_ShowDance_Cadet[[#This Row],[Age
Division]],Majorette_Group_ShowDance_Cadet[Category],Majorette_Group_ShowDance_Cadet[[#This Row],[Category]],Majorette_Group_ShowDance_Cadet[J3 TOTAL],"&gt;"&amp;Majorette_Group_ShowDance_Cadet[[#This Row],[J3 TOTAL]])+1</f>
        <v>2</v>
      </c>
      <c r="U3" s="20">
        <v>81.2</v>
      </c>
      <c r="V3" s="21">
        <v>10</v>
      </c>
      <c r="W3" s="22">
        <f>Majorette_Group_ShowDance_Cadet[[#This Row],[Judge 4
Bernard Barač]]-V3</f>
        <v>71.2</v>
      </c>
      <c r="X3" s="23">
        <f>COUNTIFS(Majorette_Group_ShowDance_Cadet[Age
Division],Majorette_Group_ShowDance_Cadet[[#This Row],[Age
Division]],Majorette_Group_ShowDance_Cadet[Category],Majorette_Group_ShowDance_Cadet[[#This Row],[Category]],Majorette_Group_ShowDance_Cadet[J4 TOTAL],"&gt;"&amp;Majorette_Group_ShowDance_Cadet[[#This Row],[J4 TOTAL]])+1</f>
        <v>2</v>
      </c>
      <c r="Y3" s="20">
        <v>72.5</v>
      </c>
      <c r="Z3" s="21">
        <v>10</v>
      </c>
      <c r="AA3" s="22">
        <f>Majorette_Group_ShowDance_Cadet[[#This Row],[Judge 5
Barbara Novina]]-Z3</f>
        <v>62.5</v>
      </c>
      <c r="AB3" s="23">
        <f>COUNTIFS(Majorette_Group_ShowDance_Cadet[Age
Division],Majorette_Group_ShowDance_Cadet[[#This Row],[Age
Division]],Majorette_Group_ShowDance_Cadet[Category],Majorette_Group_ShowDance_Cadet[[#This Row],[Category]],Majorette_Group_ShowDance_Cadet[J5 TOTAL],"&gt;"&amp;Majorette_Group_ShowDance_Cadet[[#This Row],[J5 TOTAL]])+1</f>
        <v>2</v>
      </c>
      <c r="AC3" s="24">
        <f>SUM(Majorette_Group_ShowDance_Cadet[[#This Row],[J1 TOTAL]]+Majorette_Group_ShowDance_Cadet[[#This Row],[J2 TOTAL]]+Majorette_Group_ShowDance_Cadet[[#This Row],[J3 TOTAL]]+Majorette_Group_ShowDance_Cadet[[#This Row],[J4 TOTAL]])+Majorette_Group_ShowDance_Cadet[[#This Row],[J5 TOTAL]]</f>
        <v>359.9</v>
      </c>
      <c r="AD3" s="24">
        <f>MIN(Majorette_Group_ShowDance_Cadet[[#This Row],[J1 TOTAL]],Majorette_Group_ShowDance_Cadet[[#This Row],[J2 TOTAL]],Majorette_Group_ShowDance_Cadet[[#This Row],[J3 TOTAL]],Majorette_Group_ShowDance_Cadet[[#This Row],[J4 TOTAL]],Majorette_Group_ShowDance_Cadet[[#This Row],[J5 TOTAL]])</f>
        <v>62.5</v>
      </c>
      <c r="AE3" s="24">
        <f>MAX(Majorette_Group_ShowDance_Cadet[[#This Row],[J1 TOTAL]],Majorette_Group_ShowDance_Cadet[[#This Row],[J2 TOTAL]],Majorette_Group_ShowDance_Cadet[[#This Row],[J3 TOTAL]],Majorette_Group_ShowDance_Cadet[[#This Row],[J4 TOTAL]],Majorette_Group_ShowDance_Cadet[[#This Row],[J5 TOTAL]],)</f>
        <v>77.2</v>
      </c>
      <c r="AF3" s="24">
        <f>SUM(Majorette_Group_ShowDance_Cadet[[#This Row],[Total]]-Majorette_Group_ShowDance_Cadet[[#This Row],[Low]]-Majorette_Group_ShowDance_Cadet[[#This Row],[High]])</f>
        <v>220.2</v>
      </c>
      <c r="AG3" s="24">
        <f>AVERAGE(I3,M3,Q3,U3,Y3)</f>
        <v>81.97999999999999</v>
      </c>
      <c r="AH3" s="25">
        <f>Majorette_Group_ShowDance_Cadet[[#This Row],[Final Total]]</f>
        <v>220.2</v>
      </c>
      <c r="AI3" s="26">
        <f>COUNTIFS(Majorette_Group_ShowDance_Cadet[Age
Division],Majorette_Group_ShowDance_Cadet[[#This Row],[Age
Division]],Majorette_Group_ShowDance_Cadet[Category],Majorette_Group_ShowDance_Cadet[[#This Row],[Category]],Majorette_Group_ShowDance_Cadet[FINAL SCORE],"&gt;"&amp;Majorette_Group_ShowDance_Cadet[[#This Row],[FINAL SCORE]])+1</f>
        <v>2</v>
      </c>
      <c r="AJ3" s="16" t="s">
        <v>26</v>
      </c>
    </row>
  </sheetData>
  <sheetProtection algorithmName="SHA-512" hashValue="k0weHvXhdT5ZjPY6LqLvN5Bhh6tHH3vaf1LLjdYWsgqsmEBTFuK/TFz/grYHpo68O/Y0LOro2Gg+YULpfLEfEg==" saltValue="DhbhQhJKZZUtj4ZAao4rGw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E0861-9A5F-4232-9C63-52CDD243AF8E}">
  <dimension ref="A1:BC3"/>
  <sheetViews>
    <sheetView zoomScale="80" zoomScaleNormal="80" workbookViewId="0">
      <pane xSplit="8" topLeftCell="M1" activePane="topRight" state="frozen"/>
      <selection activeCell="G2" sqref="G2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6.44140625" style="29" customWidth="1"/>
    <col min="4" max="4" width="12.5546875" style="30" customWidth="1"/>
    <col min="5" max="5" width="16.33203125" style="30" hidden="1" customWidth="1"/>
    <col min="6" max="6" width="13.44140625" style="19" customWidth="1"/>
    <col min="7" max="7" width="31.5546875" style="19" customWidth="1"/>
    <col min="8" max="8" width="8.5546875" style="19" customWidth="1"/>
    <col min="9" max="12" width="9.109375" style="19" hidden="1" customWidth="1"/>
    <col min="13" max="16" width="9.109375" style="19" customWidth="1"/>
    <col min="17" max="20" width="9.109375" style="19" hidden="1" customWidth="1"/>
    <col min="21" max="28" width="9.109375" style="19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35</v>
      </c>
      <c r="B2" s="17">
        <v>2</v>
      </c>
      <c r="C2" s="17" t="s">
        <v>53</v>
      </c>
      <c r="D2" s="17" t="s">
        <v>29</v>
      </c>
      <c r="E2" s="17"/>
      <c r="F2" s="17" t="s">
        <v>75</v>
      </c>
      <c r="G2" s="17" t="s">
        <v>31</v>
      </c>
      <c r="H2" s="19" t="s">
        <v>25</v>
      </c>
      <c r="I2" s="20"/>
      <c r="J2" s="21"/>
      <c r="K2" s="22">
        <f>Majorette_Solo_MajoretteSolo_Senior[[#This Row],[Judge 1
Tamara Beljak]]-J2</f>
        <v>0</v>
      </c>
      <c r="L2" s="23">
        <f>COUNTIFS(Majorette_Solo_MajoretteSolo_Senior[Age
Division],Majorette_Solo_MajoretteSolo_Senior[[#This Row],[Age
Division]],Majorette_Solo_MajoretteSolo_Senior[Category],Majorette_Solo_MajoretteSolo_Senior[[#This Row],[Category]],Majorette_Solo_MajoretteSolo_Senior[J1 TOTAL],"&gt;"&amp;Majorette_Solo_MajoretteSolo_Senior[[#This Row],[J1 TOTAL]])+1</f>
        <v>1</v>
      </c>
      <c r="M2" s="20">
        <v>24.2</v>
      </c>
      <c r="N2" s="21">
        <v>0</v>
      </c>
      <c r="O2" s="22">
        <f>Majorette_Solo_MajoretteSolo_Senior[[#This Row],[Judge 2
Tihomir Bendelja]]-Majorette_Solo_MajoretteSolo_Senior[[#This Row],[J2 (-)]]</f>
        <v>24.2</v>
      </c>
      <c r="P2" s="23">
        <f>COUNTIFS(Majorette_Solo_MajoretteSolo_Senior[Age
Division],Majorette_Solo_MajoretteSolo_Senior[[#This Row],[Age
Division]],Majorette_Solo_MajoretteSolo_Senior[Category],Majorette_Solo_MajoretteSolo_Senior[[#This Row],[Category]],Majorette_Solo_MajoretteSolo_Senior[J2 TOTAL],"&gt;"&amp;Majorette_Solo_MajoretteSolo_Senior[[#This Row],[J2 TOTAL]])+1</f>
        <v>1</v>
      </c>
      <c r="Q2" s="20"/>
      <c r="R2" s="21"/>
      <c r="S2" s="22">
        <f>Majorette_Solo_MajoretteSolo_Senior[[#This Row],[Judge 3
Tea Softić]]-R2</f>
        <v>0</v>
      </c>
      <c r="T2" s="23">
        <f>COUNTIFS(Majorette_Solo_MajoretteSolo_Senior[Age
Division],Majorette_Solo_MajoretteSolo_Senior[[#This Row],[Age
Division]],Majorette_Solo_MajoretteSolo_Senior[Category],Majorette_Solo_MajoretteSolo_Senior[[#This Row],[Category]],Majorette_Solo_MajoretteSolo_Senior[J3 TOTAL],"&gt;"&amp;Majorette_Solo_MajoretteSolo_Senior[[#This Row],[J3 TOTAL]])+1</f>
        <v>1</v>
      </c>
      <c r="U2" s="20">
        <v>19.899999999999999</v>
      </c>
      <c r="V2" s="21">
        <v>0</v>
      </c>
      <c r="W2" s="22">
        <f>Majorette_Solo_MajoretteSolo_Senior[[#This Row],[Judge 4
Bernard Barač]]-V2</f>
        <v>19.899999999999999</v>
      </c>
      <c r="X2" s="23">
        <f>COUNTIFS(Majorette_Solo_MajoretteSolo_Senior[Age
Division],Majorette_Solo_MajoretteSolo_Senior[[#This Row],[Age
Division]],Majorette_Solo_MajoretteSolo_Senior[Category],Majorette_Solo_MajoretteSolo_Senior[[#This Row],[Category]],Majorette_Solo_MajoretteSolo_Senior[J4 TOTAL],"&gt;"&amp;Majorette_Solo_MajoretteSolo_Senior[[#This Row],[J4 TOTAL]])+1</f>
        <v>1</v>
      </c>
      <c r="Y2" s="20">
        <v>15.8</v>
      </c>
      <c r="Z2" s="21">
        <v>0</v>
      </c>
      <c r="AA2" s="22">
        <f>Majorette_Solo_MajoretteSolo_Senior[[#This Row],[Judge 5
Barbara Novina]]-Z2</f>
        <v>15.8</v>
      </c>
      <c r="AB2" s="23">
        <f>COUNTIFS(Majorette_Solo_MajoretteSolo_Senior[Age
Division],Majorette_Solo_MajoretteSolo_Senior[[#This Row],[Age
Division]],Majorette_Solo_MajoretteSolo_Senior[Category],Majorette_Solo_MajoretteSolo_Senior[[#This Row],[Category]],Majorette_Solo_MajoretteSolo_Senior[J5 TOTAL],"&gt;"&amp;Majorette_Solo_MajoretteSolo_Senior[[#This Row],[J5 TOTAL]])+1</f>
        <v>1</v>
      </c>
      <c r="AC2" s="24">
        <f>SUM(Majorette_Solo_MajoretteSolo_Senior[[#This Row],[J1 TOTAL]]+Majorette_Solo_MajoretteSolo_Senior[[#This Row],[J2 TOTAL]]+Majorette_Solo_MajoretteSolo_Senior[[#This Row],[J3 TOTAL]]+Majorette_Solo_MajoretteSolo_Senior[[#This Row],[J4 TOTAL]])+Majorette_Solo_MajoretteSolo_Senior[[#This Row],[J5 TOTAL]]</f>
        <v>59.899999999999991</v>
      </c>
      <c r="AD2" s="24"/>
      <c r="AE2" s="24"/>
      <c r="AF2" s="24">
        <f>SUM(Majorette_Solo_MajoretteSolo_Senior[[#This Row],[Total]]-Majorette_Solo_MajoretteSolo_Senior[[#This Row],[Low]]-Majorette_Solo_MajoretteSolo_Senior[[#This Row],[High]])</f>
        <v>59.899999999999991</v>
      </c>
      <c r="AG2" s="24">
        <f>AVERAGE(I2,M2,Q2,U2,Y2)</f>
        <v>19.966666666666665</v>
      </c>
      <c r="AH2" s="25">
        <f>Majorette_Solo_MajoretteSolo_Senior[[#This Row],[Final Total]]</f>
        <v>59.899999999999991</v>
      </c>
      <c r="AI2" s="26">
        <f>COUNTIFS(Majorette_Solo_MajoretteSolo_Senior[Age
Division],Majorette_Solo_MajoretteSolo_Senior[[#This Row],[Age
Division]],Majorette_Solo_MajoretteSolo_Senior[Category],Majorette_Solo_MajoretteSolo_Senior[[#This Row],[Category]],Majorette_Solo_MajoretteSolo_Senior[FINAL SCORE],"&gt;"&amp;Majorette_Solo_MajoretteSolo_Senior[[#This Row],[FINAL SCORE]])+1</f>
        <v>1</v>
      </c>
      <c r="AJ2" s="16" t="s">
        <v>33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33</v>
      </c>
      <c r="B3" s="17">
        <v>2</v>
      </c>
      <c r="C3" s="17" t="s">
        <v>53</v>
      </c>
      <c r="D3" s="17" t="s">
        <v>29</v>
      </c>
      <c r="E3" s="17"/>
      <c r="F3" s="17" t="s">
        <v>74</v>
      </c>
      <c r="G3" s="17" t="s">
        <v>55</v>
      </c>
      <c r="H3" s="19" t="s">
        <v>25</v>
      </c>
      <c r="I3" s="20"/>
      <c r="J3" s="21"/>
      <c r="K3" s="22">
        <f>Majorette_Solo_MajoretteSolo_Senior[[#This Row],[Judge 1
Tamara Beljak]]-J3</f>
        <v>0</v>
      </c>
      <c r="L3" s="23">
        <f>COUNTIFS(Majorette_Solo_MajoretteSolo_Senior[Age
Division],Majorette_Solo_MajoretteSolo_Senior[[#This Row],[Age
Division]],Majorette_Solo_MajoretteSolo_Senior[Category],Majorette_Solo_MajoretteSolo_Senior[[#This Row],[Category]],Majorette_Solo_MajoretteSolo_Senior[J1 TOTAL],"&gt;"&amp;Majorette_Solo_MajoretteSolo_Senior[[#This Row],[J1 TOTAL]])+1</f>
        <v>1</v>
      </c>
      <c r="M3" s="20">
        <v>16.7</v>
      </c>
      <c r="N3" s="21">
        <v>0.5</v>
      </c>
      <c r="O3" s="22">
        <f>Majorette_Solo_MajoretteSolo_Senior[[#This Row],[Judge 2
Tihomir Bendelja]]-Majorette_Solo_MajoretteSolo_Senior[[#This Row],[J2 (-)]]</f>
        <v>16.2</v>
      </c>
      <c r="P3" s="23">
        <f>COUNTIFS(Majorette_Solo_MajoretteSolo_Senior[Age
Division],Majorette_Solo_MajoretteSolo_Senior[[#This Row],[Age
Division]],Majorette_Solo_MajoretteSolo_Senior[Category],Majorette_Solo_MajoretteSolo_Senior[[#This Row],[Category]],Majorette_Solo_MajoretteSolo_Senior[J2 TOTAL],"&gt;"&amp;Majorette_Solo_MajoretteSolo_Senior[[#This Row],[J2 TOTAL]])+1</f>
        <v>2</v>
      </c>
      <c r="Q3" s="20"/>
      <c r="R3" s="21"/>
      <c r="S3" s="22">
        <f>Majorette_Solo_MajoretteSolo_Senior[[#This Row],[Judge 3
Tea Softić]]-R3</f>
        <v>0</v>
      </c>
      <c r="T3" s="23">
        <f>COUNTIFS(Majorette_Solo_MajoretteSolo_Senior[Age
Division],Majorette_Solo_MajoretteSolo_Senior[[#This Row],[Age
Division]],Majorette_Solo_MajoretteSolo_Senior[Category],Majorette_Solo_MajoretteSolo_Senior[[#This Row],[Category]],Majorette_Solo_MajoretteSolo_Senior[J3 TOTAL],"&gt;"&amp;Majorette_Solo_MajoretteSolo_Senior[[#This Row],[J3 TOTAL]])+1</f>
        <v>1</v>
      </c>
      <c r="U3" s="20">
        <v>19.100000000000001</v>
      </c>
      <c r="V3" s="21">
        <v>0.5</v>
      </c>
      <c r="W3" s="22">
        <f>Majorette_Solo_MajoretteSolo_Senior[[#This Row],[Judge 4
Bernard Barač]]-V3</f>
        <v>18.600000000000001</v>
      </c>
      <c r="X3" s="23">
        <f>COUNTIFS(Majorette_Solo_MajoretteSolo_Senior[Age
Division],Majorette_Solo_MajoretteSolo_Senior[[#This Row],[Age
Division]],Majorette_Solo_MajoretteSolo_Senior[Category],Majorette_Solo_MajoretteSolo_Senior[[#This Row],[Category]],Majorette_Solo_MajoretteSolo_Senior[J4 TOTAL],"&gt;"&amp;Majorette_Solo_MajoretteSolo_Senior[[#This Row],[J4 TOTAL]])+1</f>
        <v>2</v>
      </c>
      <c r="Y3" s="20">
        <v>16.2</v>
      </c>
      <c r="Z3" s="21">
        <v>0.5</v>
      </c>
      <c r="AA3" s="22">
        <f>Majorette_Solo_MajoretteSolo_Senior[[#This Row],[Judge 5
Barbara Novina]]-Z3</f>
        <v>15.7</v>
      </c>
      <c r="AB3" s="23">
        <f>COUNTIFS(Majorette_Solo_MajoretteSolo_Senior[Age
Division],Majorette_Solo_MajoretteSolo_Senior[[#This Row],[Age
Division]],Majorette_Solo_MajoretteSolo_Senior[Category],Majorette_Solo_MajoretteSolo_Senior[[#This Row],[Category]],Majorette_Solo_MajoretteSolo_Senior[J5 TOTAL],"&gt;"&amp;Majorette_Solo_MajoretteSolo_Senior[[#This Row],[J5 TOTAL]])+1</f>
        <v>2</v>
      </c>
      <c r="AC3" s="24">
        <f>SUM(Majorette_Solo_MajoretteSolo_Senior[[#This Row],[J1 TOTAL]]+Majorette_Solo_MajoretteSolo_Senior[[#This Row],[J2 TOTAL]]+Majorette_Solo_MajoretteSolo_Senior[[#This Row],[J3 TOTAL]]+Majorette_Solo_MajoretteSolo_Senior[[#This Row],[J4 TOTAL]])+Majorette_Solo_MajoretteSolo_Senior[[#This Row],[J5 TOTAL]]</f>
        <v>50.5</v>
      </c>
      <c r="AD3" s="24"/>
      <c r="AE3" s="24"/>
      <c r="AF3" s="24">
        <f>SUM(Majorette_Solo_MajoretteSolo_Senior[[#This Row],[Total]]-Majorette_Solo_MajoretteSolo_Senior[[#This Row],[Low]]-Majorette_Solo_MajoretteSolo_Senior[[#This Row],[High]])</f>
        <v>50.5</v>
      </c>
      <c r="AG3" s="24">
        <f>AVERAGE(I3,M3,Q3,U3,Y3)</f>
        <v>17.333333333333332</v>
      </c>
      <c r="AH3" s="25">
        <f>Majorette_Solo_MajoretteSolo_Senior[[#This Row],[Final Total]]</f>
        <v>50.5</v>
      </c>
      <c r="AI3" s="28">
        <f>COUNTIFS(Majorette_Solo_MajoretteSolo_Senior[Age
Division],Majorette_Solo_MajoretteSolo_Senior[[#This Row],[Age
Division]],Majorette_Solo_MajoretteSolo_Senior[Category],Majorette_Solo_MajoretteSolo_Senior[[#This Row],[Category]],Majorette_Solo_MajoretteSolo_Senior[FINAL SCORE],"&gt;"&amp;Majorette_Solo_MajoretteSolo_Senior[[#This Row],[FINAL SCORE]])+1</f>
        <v>2</v>
      </c>
      <c r="AJ3" s="16" t="s">
        <v>33</v>
      </c>
    </row>
  </sheetData>
  <sheetProtection algorithmName="SHA-512" hashValue="+Qr7ZHlwuS1qg3w7sYqCWKxUt2ji7782DOAaNmGMlwN8FW1aX3bVLeXgWYZLTdIhJIZILTjYNZ1w82M/Dqdc0A==" saltValue="zRDnh/SBDjPMf9m9lkfKqA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0A73D-BBBB-428B-9786-C8EBFA8D6AFF}">
  <dimension ref="A1:BC2"/>
  <sheetViews>
    <sheetView zoomScale="80" zoomScaleNormal="80" workbookViewId="0">
      <pane xSplit="8" topLeftCell="I1" activePane="topRight" state="frozen"/>
      <selection activeCell="H2" sqref="H2"/>
      <selection pane="topRight" activeCell="G2" sqref="G2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2.109375" style="29" customWidth="1"/>
    <col min="4" max="4" width="8.5546875" style="30" customWidth="1"/>
    <col min="5" max="5" width="16.33203125" style="30" hidden="1" customWidth="1"/>
    <col min="6" max="6" width="26.5546875" style="19" hidden="1" customWidth="1"/>
    <col min="7" max="7" width="38.21875" style="19" customWidth="1"/>
    <col min="8" max="8" width="10.5546875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55</v>
      </c>
      <c r="B2" s="17"/>
      <c r="C2" s="17" t="s">
        <v>135</v>
      </c>
      <c r="D2" s="17" t="s">
        <v>27</v>
      </c>
      <c r="E2" s="17"/>
      <c r="F2" s="17"/>
      <c r="G2" s="17" t="s">
        <v>93</v>
      </c>
      <c r="H2" s="19" t="s">
        <v>25</v>
      </c>
      <c r="I2" s="20">
        <v>91.5</v>
      </c>
      <c r="J2" s="21">
        <v>2.5</v>
      </c>
      <c r="K2" s="22">
        <f>Majorette_Group_ShowDance_Junior[[#This Row],[Judge 1
Tamara Beljak]]-J2</f>
        <v>89</v>
      </c>
      <c r="L2" s="23">
        <f>COUNTIFS(Majorette_Group_ShowDance_Junior[Age
Division],Majorette_Group_ShowDance_Junior[[#This Row],[Age
Division]],Majorette_Group_ShowDance_Junior[Category],Majorette_Group_ShowDance_Junior[[#This Row],[Category]],Majorette_Group_ShowDance_Junior[J1 TOTAL],"&gt;"&amp;Majorette_Group_ShowDance_Junior[[#This Row],[J1 TOTAL]])+1</f>
        <v>1</v>
      </c>
      <c r="M2" s="20">
        <v>92</v>
      </c>
      <c r="N2" s="21">
        <v>2.5</v>
      </c>
      <c r="O2" s="22">
        <f>Majorette_Group_ShowDance_Junior[[#This Row],[Judge 2
Tihomir Bendelja]]-Majorette_Group_ShowDance_Junior[[#This Row],[J2 (-)]]</f>
        <v>89.5</v>
      </c>
      <c r="P2" s="23">
        <f>COUNTIFS(Majorette_Group_ShowDance_Junior[Age
Division],Majorette_Group_ShowDance_Junior[[#This Row],[Age
Division]],Majorette_Group_ShowDance_Junior[Category],Majorette_Group_ShowDance_Junior[[#This Row],[Category]],Majorette_Group_ShowDance_Junior[J2 TOTAL],"&gt;"&amp;Majorette_Group_ShowDance_Junior[[#This Row],[J2 TOTAL]])+1</f>
        <v>1</v>
      </c>
      <c r="Q2" s="20">
        <v>92.8</v>
      </c>
      <c r="R2" s="21">
        <v>2.5</v>
      </c>
      <c r="S2" s="22">
        <f>Majorette_Group_ShowDance_Junior[[#This Row],[Judge 3
Tea Softić]]-R2</f>
        <v>90.3</v>
      </c>
      <c r="T2" s="23">
        <f>COUNTIFS(Majorette_Group_ShowDance_Junior[Age
Division],Majorette_Group_ShowDance_Junior[[#This Row],[Age
Division]],Majorette_Group_ShowDance_Junior[Category],Majorette_Group_ShowDance_Junior[[#This Row],[Category]],Majorette_Group_ShowDance_Junior[J3 TOTAL],"&gt;"&amp;Majorette_Group_ShowDance_Junior[[#This Row],[J3 TOTAL]])+1</f>
        <v>1</v>
      </c>
      <c r="U2" s="20">
        <v>83.6</v>
      </c>
      <c r="V2" s="21">
        <v>2.5</v>
      </c>
      <c r="W2" s="22">
        <f>Majorette_Group_ShowDance_Junior[[#This Row],[Judge 4
Bernard Barač]]-V2</f>
        <v>81.099999999999994</v>
      </c>
      <c r="X2" s="23">
        <f>COUNTIFS(Majorette_Group_ShowDance_Junior[Age
Division],Majorette_Group_ShowDance_Junior[[#This Row],[Age
Division]],Majorette_Group_ShowDance_Junior[Category],Majorette_Group_ShowDance_Junior[[#This Row],[Category]],Majorette_Group_ShowDance_Junior[J4 TOTAL],"&gt;"&amp;Majorette_Group_ShowDance_Junior[[#This Row],[J4 TOTAL]])+1</f>
        <v>1</v>
      </c>
      <c r="Y2" s="20">
        <v>82.8</v>
      </c>
      <c r="Z2" s="21">
        <v>2.5</v>
      </c>
      <c r="AA2" s="22">
        <f>Majorette_Group_ShowDance_Junior[[#This Row],[Judge 5
Barbara Novina]]-Z2</f>
        <v>80.3</v>
      </c>
      <c r="AB2" s="23">
        <f>COUNTIFS(Majorette_Group_ShowDance_Junior[Age
Division],Majorette_Group_ShowDance_Junior[[#This Row],[Age
Division]],Majorette_Group_ShowDance_Junior[Category],Majorette_Group_ShowDance_Junior[[#This Row],[Category]],Majorette_Group_ShowDance_Junior[J5 TOTAL],"&gt;"&amp;Majorette_Group_ShowDance_Junior[[#This Row],[J5 TOTAL]])+1</f>
        <v>1</v>
      </c>
      <c r="AC2" s="24">
        <f>SUM(Majorette_Group_ShowDance_Junior[[#This Row],[J1 TOTAL]]+Majorette_Group_ShowDance_Junior[[#This Row],[J2 TOTAL]]+Majorette_Group_ShowDance_Junior[[#This Row],[J3 TOTAL]]+Majorette_Group_ShowDance_Junior[[#This Row],[J4 TOTAL]])+Majorette_Group_ShowDance_Junior[[#This Row],[J5 TOTAL]]</f>
        <v>430.2</v>
      </c>
      <c r="AD2" s="24">
        <f>MIN(Majorette_Group_ShowDance_Junior[[#This Row],[J1 TOTAL]],Majorette_Group_ShowDance_Junior[[#This Row],[J2 TOTAL]],Majorette_Group_ShowDance_Junior[[#This Row],[J3 TOTAL]],Majorette_Group_ShowDance_Junior[[#This Row],[J4 TOTAL]],Majorette_Group_ShowDance_Junior[[#This Row],[J5 TOTAL]])</f>
        <v>80.3</v>
      </c>
      <c r="AE2" s="24">
        <f>MAX(Majorette_Group_ShowDance_Junior[[#This Row],[J1 TOTAL]],Majorette_Group_ShowDance_Junior[[#This Row],[J2 TOTAL]],Majorette_Group_ShowDance_Junior[[#This Row],[J3 TOTAL]],Majorette_Group_ShowDance_Junior[[#This Row],[J4 TOTAL]],Majorette_Group_ShowDance_Junior[[#This Row],[J5 TOTAL]],)</f>
        <v>90.3</v>
      </c>
      <c r="AF2" s="24">
        <f>SUM(Majorette_Group_ShowDance_Junior[[#This Row],[Total]]-Majorette_Group_ShowDance_Junior[[#This Row],[Low]]-Majorette_Group_ShowDance_Junior[[#This Row],[High]])</f>
        <v>259.59999999999997</v>
      </c>
      <c r="AG2" s="24">
        <f>AVERAGE(I2,M2,Q2,U2,Y2)</f>
        <v>88.539999999999992</v>
      </c>
      <c r="AH2" s="25">
        <f>Majorette_Group_ShowDance_Junior[[#This Row],[Final Total]]</f>
        <v>259.59999999999997</v>
      </c>
      <c r="AI2" s="28">
        <f>COUNTIFS(Majorette_Group_ShowDance_Junior[Age
Division],Majorette_Group_ShowDance_Junior[[#This Row],[Age
Division]],Majorette_Group_ShowDance_Junior[Category],Majorette_Group_ShowDance_Junior[[#This Row],[Category]],Majorette_Group_ShowDance_Junior[FINAL SCORE],"&gt;"&amp;Majorette_Group_ShowDance_Junior[[#This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Uyo0o9fY7z5HrfAsCenGKu+kEY1Z+J4UFcEcoUCKfJ2LK/oWWX2XmMLVLJQfvq8XooDdxV8lxMCySxtkhZALHA==" saltValue="Uob7vSx2otA7EPXEDt8UYw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32DB9-F2E3-464E-B016-FFF3FB50018E}">
  <dimension ref="A1:BC2"/>
  <sheetViews>
    <sheetView zoomScale="80" zoomScaleNormal="80" workbookViewId="0">
      <pane xSplit="8" topLeftCell="W1" activePane="topRight" state="frozen"/>
      <selection activeCell="AD2" sqref="AD2"/>
      <selection pane="topRight" activeCell="W2" sqref="W2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1" style="29" customWidth="1"/>
    <col min="4" max="4" width="8.77734375" style="30" customWidth="1"/>
    <col min="5" max="5" width="16.33203125" style="30" hidden="1" customWidth="1"/>
    <col min="6" max="6" width="26.5546875" style="19" hidden="1" customWidth="1"/>
    <col min="7" max="7" width="38.33203125" style="19" customWidth="1"/>
    <col min="8" max="8" width="7.88671875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92</v>
      </c>
      <c r="B2" s="17"/>
      <c r="C2" s="17" t="s">
        <v>135</v>
      </c>
      <c r="D2" s="17" t="s">
        <v>29</v>
      </c>
      <c r="E2" s="17"/>
      <c r="F2" s="17"/>
      <c r="G2" s="17" t="s">
        <v>93</v>
      </c>
      <c r="H2" s="19" t="s">
        <v>25</v>
      </c>
      <c r="I2" s="20">
        <v>87.7</v>
      </c>
      <c r="J2" s="21">
        <v>7.5</v>
      </c>
      <c r="K2" s="22">
        <f>Majorette_Group_ShowDance_Senior[[#This Row],[Judge 1
Tamara Beljak]]-J2</f>
        <v>80.2</v>
      </c>
      <c r="L2" s="23">
        <f>COUNTIFS(Majorette_Group_ShowDance_Senior[Age
Division],Majorette_Group_ShowDance_Senior[[#This Row],[Age
Division]],Majorette_Group_ShowDance_Senior[Category],Majorette_Group_ShowDance_Senior[[#This Row],[Category]],Majorette_Group_ShowDance_Senior[J1 TOTAL],"&gt;"&amp;Majorette_Group_ShowDance_Senior[[#This Row],[J1 TOTAL]])+1</f>
        <v>1</v>
      </c>
      <c r="M2" s="20">
        <v>85</v>
      </c>
      <c r="N2" s="21">
        <v>7.5</v>
      </c>
      <c r="O2" s="22">
        <f>Majorette_Group_ShowDance_Senior[[#This Row],[Judge 2
Tihomir Bendelja]]-Majorette_Group_ShowDance_Senior[[#This Row],[J2 (-)]]</f>
        <v>77.5</v>
      </c>
      <c r="P2" s="23">
        <f>COUNTIFS(Majorette_Group_ShowDance_Senior[Age
Division],Majorette_Group_ShowDance_Senior[[#This Row],[Age
Division]],Majorette_Group_ShowDance_Senior[Category],Majorette_Group_ShowDance_Senior[[#This Row],[Category]],Majorette_Group_ShowDance_Senior[J2 TOTAL],"&gt;"&amp;Majorette_Group_ShowDance_Senior[[#This Row],[J2 TOTAL]])+1</f>
        <v>1</v>
      </c>
      <c r="Q2" s="20">
        <v>85.8</v>
      </c>
      <c r="R2" s="21">
        <v>7.5</v>
      </c>
      <c r="S2" s="22">
        <f>Majorette_Group_ShowDance_Senior[[#This Row],[Judge 3
Tea Softić]]-R2</f>
        <v>78.3</v>
      </c>
      <c r="T2" s="23">
        <f>COUNTIFS(Majorette_Group_ShowDance_Senior[Age
Division],Majorette_Group_ShowDance_Senior[[#This Row],[Age
Division]],Majorette_Group_ShowDance_Senior[Category],Majorette_Group_ShowDance_Senior[[#This Row],[Category]],Majorette_Group_ShowDance_Senior[J3 TOTAL],"&gt;"&amp;Majorette_Group_ShowDance_Senior[[#This Row],[J3 TOTAL]])+1</f>
        <v>1</v>
      </c>
      <c r="U2" s="20">
        <v>86.9</v>
      </c>
      <c r="V2" s="21">
        <v>7.5</v>
      </c>
      <c r="W2" s="22">
        <f>Majorette_Group_ShowDance_Senior[[#This Row],[Judge 4
Bernard Barač]]-V2</f>
        <v>79.400000000000006</v>
      </c>
      <c r="X2" s="23">
        <f>COUNTIFS(Majorette_Group_ShowDance_Senior[Age
Division],Majorette_Group_ShowDance_Senior[[#This Row],[Age
Division]],Majorette_Group_ShowDance_Senior[Category],Majorette_Group_ShowDance_Senior[[#This Row],[Category]],Majorette_Group_ShowDance_Senior[J4 TOTAL],"&gt;"&amp;Majorette_Group_ShowDance_Senior[[#This Row],[J4 TOTAL]])+1</f>
        <v>1</v>
      </c>
      <c r="Y2" s="20">
        <v>88</v>
      </c>
      <c r="Z2" s="21">
        <v>7.5</v>
      </c>
      <c r="AA2" s="22">
        <f>Majorette_Group_ShowDance_Senior[[#This Row],[Judge 5
Barbara Novina]]-Z2</f>
        <v>80.5</v>
      </c>
      <c r="AB2" s="23">
        <f>COUNTIFS(Majorette_Group_ShowDance_Senior[Age
Division],Majorette_Group_ShowDance_Senior[[#This Row],[Age
Division]],Majorette_Group_ShowDance_Senior[Category],Majorette_Group_ShowDance_Senior[[#This Row],[Category]],Majorette_Group_ShowDance_Senior[J5 TOTAL],"&gt;"&amp;Majorette_Group_ShowDance_Senior[[#This Row],[J5 TOTAL]])+1</f>
        <v>1</v>
      </c>
      <c r="AC2" s="24">
        <f>SUM(Majorette_Group_ShowDance_Senior[[#This Row],[J1 TOTAL]]+Majorette_Group_ShowDance_Senior[[#This Row],[J2 TOTAL]]+Majorette_Group_ShowDance_Senior[[#This Row],[J3 TOTAL]]+Majorette_Group_ShowDance_Senior[[#This Row],[J4 TOTAL]])+Majorette_Group_ShowDance_Senior[[#This Row],[J5 TOTAL]]</f>
        <v>395.9</v>
      </c>
      <c r="AD2" s="24">
        <f>MIN(Majorette_Group_ShowDance_Senior[[#This Row],[J1 TOTAL]],Majorette_Group_ShowDance_Senior[[#This Row],[J2 TOTAL]],Majorette_Group_ShowDance_Senior[[#This Row],[J3 TOTAL]],Majorette_Group_ShowDance_Senior[[#This Row],[J4 TOTAL]],Majorette_Group_ShowDance_Senior[[#This Row],[J5 TOTAL]])</f>
        <v>77.5</v>
      </c>
      <c r="AE2" s="24">
        <f>MAX(Majorette_Group_ShowDance_Senior[[#This Row],[J1 TOTAL]],Majorette_Group_ShowDance_Senior[[#This Row],[J2 TOTAL]],Majorette_Group_ShowDance_Senior[[#This Row],[J3 TOTAL]],Majorette_Group_ShowDance_Senior[[#This Row],[J4 TOTAL]],Majorette_Group_ShowDance_Senior[[#This Row],[J5 TOTAL]],)</f>
        <v>80.5</v>
      </c>
      <c r="AF2" s="24">
        <f>SUM(Majorette_Group_ShowDance_Senior[[#This Row],[Total]]-Majorette_Group_ShowDance_Senior[[#This Row],[Low]]-Majorette_Group_ShowDance_Senior[[#This Row],[High]])</f>
        <v>237.89999999999998</v>
      </c>
      <c r="AG2" s="24">
        <f>AVERAGE(I2,M2,Q2,U2,Y2)</f>
        <v>86.679999999999993</v>
      </c>
      <c r="AH2" s="25">
        <f>Majorette_Group_ShowDance_Senior[[#This Row],[Final Total]]</f>
        <v>237.89999999999998</v>
      </c>
      <c r="AI2" s="28">
        <f>COUNTIFS(Majorette_Group_ShowDance_Senior[Age
Division],Majorette_Group_ShowDance_Senior[[#This Row],[Age
Division]],Majorette_Group_ShowDance_Senior[Category],Majorette_Group_ShowDance_Senior[[#This Row],[Category]],Majorette_Group_ShowDance_Senior[FINAL SCORE],"&gt;"&amp;Majorette_Group_ShowDance_Senior[[#This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J7NSLxlbCb22XBu9Jfw6caPMCq+ByhGlZJn2jiAIFAlLxntaGC44a8AUkaJYQTLMXslo0X+7TwvZPXKYik0YyQ==" saltValue="rkCIqhvBRw6WKX+uCMhtjg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8531C-CFEF-4E1F-BF7C-36D3EA96CB10}">
  <dimension ref="A1:BC7"/>
  <sheetViews>
    <sheetView zoomScale="80" zoomScaleNormal="80" workbookViewId="0">
      <pane xSplit="8" topLeftCell="I1" activePane="topRight" state="frozen"/>
      <selection activeCell="R26" sqref="R26"/>
      <selection pane="topRight" activeCell="L30" sqref="L30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1.5546875" style="29" customWidth="1"/>
    <col min="4" max="4" width="12.5546875" style="30" hidden="1" customWidth="1"/>
    <col min="5" max="5" width="16.33203125" style="30" hidden="1" customWidth="1"/>
    <col min="6" max="6" width="26.5546875" style="19" hidden="1" customWidth="1"/>
    <col min="7" max="7" width="26" style="19" customWidth="1"/>
    <col min="8" max="8" width="7.5546875" style="19" customWidth="1"/>
    <col min="9" max="28" width="9.109375" style="19" customWidth="1"/>
    <col min="29" max="29" width="9.109375" style="14" customWidth="1"/>
    <col min="30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85</v>
      </c>
      <c r="B2" s="17"/>
      <c r="C2" s="17" t="s">
        <v>136</v>
      </c>
      <c r="D2" s="17"/>
      <c r="E2" s="17"/>
      <c r="F2" s="17"/>
      <c r="G2" s="17" t="s">
        <v>110</v>
      </c>
      <c r="H2" s="19" t="s">
        <v>28</v>
      </c>
      <c r="I2" s="20">
        <v>64.400000000000006</v>
      </c>
      <c r="J2" s="21">
        <v>0</v>
      </c>
      <c r="K2" s="22">
        <f>Majorette_Group_Flags_Open[[#This Row],[Judge 1
Tamara Beljak]]-J2</f>
        <v>64.400000000000006</v>
      </c>
      <c r="L2" s="23">
        <f>COUNTIFS(Majorette_Group_Flags_Open[Age
Division],Majorette_Group_Flags_Open[[#This Row],[Age
Division]],Majorette_Group_Flags_Open[Category],Majorette_Group_Flags_Open[[#This Row],[Category]],Majorette_Group_Flags_Open[J1 TOTAL],"&gt;"&amp;Majorette_Group_Flags_Open[[#This Row],[J1 TOTAL]])+1</f>
        <v>1</v>
      </c>
      <c r="M2" s="20">
        <v>64</v>
      </c>
      <c r="N2" s="21">
        <v>0</v>
      </c>
      <c r="O2" s="22">
        <f>Majorette_Group_Flags_Open[[#This Row],[Judge 2
Tihomir Bendelja]]-Majorette_Group_Flags_Open[[#This Row],[J2 (-)]]</f>
        <v>64</v>
      </c>
      <c r="P2" s="23">
        <f>COUNTIFS(Majorette_Group_Flags_Open[Age
Division],Majorette_Group_Flags_Open[[#This Row],[Age
Division]],Majorette_Group_Flags_Open[Category],Majorette_Group_Flags_Open[[#This Row],[Category]],Majorette_Group_Flags_Open[J2 TOTAL],"&gt;"&amp;Majorette_Group_Flags_Open[[#This Row],[J2 TOTAL]])+1</f>
        <v>1</v>
      </c>
      <c r="Q2" s="20">
        <v>65.400000000000006</v>
      </c>
      <c r="R2" s="21">
        <v>0</v>
      </c>
      <c r="S2" s="22">
        <f>Majorette_Group_Flags_Open[[#This Row],[Judge 3
Tea Softić]]-R2</f>
        <v>65.400000000000006</v>
      </c>
      <c r="T2" s="23">
        <f>COUNTIFS(Majorette_Group_Flags_Open[Age
Division],Majorette_Group_Flags_Open[[#This Row],[Age
Division]],Majorette_Group_Flags_Open[Category],Majorette_Group_Flags_Open[[#This Row],[Category]],Majorette_Group_Flags_Open[J3 TOTAL],"&gt;"&amp;Majorette_Group_Flags_Open[[#This Row],[J3 TOTAL]])+1</f>
        <v>1</v>
      </c>
      <c r="U2" s="20">
        <v>66.3</v>
      </c>
      <c r="V2" s="21">
        <v>0</v>
      </c>
      <c r="W2" s="22">
        <f>Majorette_Group_Flags_Open[[#This Row],[Judge 4
Bernard Barač]]-V2</f>
        <v>66.3</v>
      </c>
      <c r="X2" s="23">
        <f>COUNTIFS(Majorette_Group_Flags_Open[Age
Division],Majorette_Group_Flags_Open[[#This Row],[Age
Division]],Majorette_Group_Flags_Open[Category],Majorette_Group_Flags_Open[[#This Row],[Category]],Majorette_Group_Flags_Open[J4 TOTAL],"&gt;"&amp;Majorette_Group_Flags_Open[[#This Row],[J4 TOTAL]])+1</f>
        <v>1</v>
      </c>
      <c r="Y2" s="20">
        <v>65.5</v>
      </c>
      <c r="Z2" s="21">
        <v>0</v>
      </c>
      <c r="AA2" s="22">
        <f>Majorette_Group_Flags_Open[[#This Row],[Judge 5
Barbara Novina]]-Z2</f>
        <v>65.5</v>
      </c>
      <c r="AB2" s="23">
        <f>COUNTIFS(Majorette_Group_Flags_Open[Age
Division],Majorette_Group_Flags_Open[[#This Row],[Age
Division]],Majorette_Group_Flags_Open[Category],Majorette_Group_Flags_Open[[#This Row],[Category]],Majorette_Group_Flags_Open[J5 TOTAL],"&gt;"&amp;Majorette_Group_Flags_Open[[#This Row],[J5 TOTAL]])+1</f>
        <v>1</v>
      </c>
      <c r="AC2" s="24">
        <f>SUM(Majorette_Group_Flags_Open[[#This Row],[J1 TOTAL]]+Majorette_Group_Flags_Open[[#This Row],[J2 TOTAL]]+Majorette_Group_Flags_Open[[#This Row],[J3 TOTAL]]+Majorette_Group_Flags_Open[[#This Row],[J4 TOTAL]])+Majorette_Group_Flags_Open[[#This Row],[J5 TOTAL]]</f>
        <v>325.60000000000002</v>
      </c>
      <c r="AD2" s="24">
        <f>MIN(Majorette_Group_Flags_Open[[#This Row],[J1 TOTAL]],Majorette_Group_Flags_Open[[#This Row],[J2 TOTAL]],Majorette_Group_Flags_Open[[#This Row],[J3 TOTAL]],Majorette_Group_Flags_Open[[#This Row],[J4 TOTAL]],Majorette_Group_Flags_Open[[#This Row],[J5 TOTAL]])</f>
        <v>64</v>
      </c>
      <c r="AE2" s="24">
        <f>MAX(Majorette_Group_Flags_Open[[#This Row],[J1 TOTAL]],Majorette_Group_Flags_Open[[#This Row],[J2 TOTAL]],Majorette_Group_Flags_Open[[#This Row],[J3 TOTAL]],Majorette_Group_Flags_Open[[#This Row],[J4 TOTAL]],Majorette_Group_Flags_Open[[#This Row],[J5 TOTAL]],)</f>
        <v>66.3</v>
      </c>
      <c r="AF2" s="24">
        <f>SUM(Majorette_Group_Flags_Open[[#This Row],[Total]]-Majorette_Group_Flags_Open[[#This Row],[Low]]-Majorette_Group_Flags_Open[[#This Row],[High]])</f>
        <v>195.3</v>
      </c>
      <c r="AG2" s="24">
        <f>AVERAGE(I2,M2,Q2,U2,Y2)</f>
        <v>65.12</v>
      </c>
      <c r="AH2" s="25">
        <f>Majorette_Group_Flags_Open[[#This Row],[Final Total]]</f>
        <v>195.3</v>
      </c>
      <c r="AI2" s="28">
        <f>COUNTIFS(Majorette_Group_Flags_Open[Age
Division],Majorette_Group_Flags_Open[[#This Row],[Age
Division]],Majorette_Group_Flags_Open[Category],Majorette_Group_Flags_Open[[#This Row],[Category]],Majorette_Group_Flags_Open[FINAL SCORE],"&gt;"&amp;Majorette_Group_Flags_Open[[#This Row],[FINAL SCORE]])+1</f>
        <v>1</v>
      </c>
      <c r="AJ2" s="16" t="s">
        <v>26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7" spans="1:55" x14ac:dyDescent="0.3">
      <c r="Y7" s="19" t="s">
        <v>139</v>
      </c>
    </row>
  </sheetData>
  <sheetProtection algorithmName="SHA-512" hashValue="kJGjCAUvw3tXsmhtceW7I7thbT8EqhF7vEmfcd3A5/COMMev9mmqM/UV6Ar7Fr853l67TACqARrrkO+iYxdMBQ==" saltValue="fKdt2y48sIKQcINFibiNmw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CB260-A387-4E92-B5F5-DE3562F1A110}">
  <sheetPr codeName="Sheet37">
    <tabColor rgb="FFFFC000"/>
  </sheetPr>
  <dimension ref="A1"/>
  <sheetViews>
    <sheetView workbookViewId="0">
      <selection activeCell="M27" sqref="M27"/>
    </sheetView>
  </sheetViews>
  <sheetFormatPr defaultRowHeight="14.4" x14ac:dyDescent="0.3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73423-A7D6-4CF4-9535-3473DC1B0A91}">
  <dimension ref="A1:B67"/>
  <sheetViews>
    <sheetView topLeftCell="A46" workbookViewId="0">
      <selection activeCell="M27" sqref="M27"/>
    </sheetView>
  </sheetViews>
  <sheetFormatPr defaultRowHeight="14.4" x14ac:dyDescent="0.3"/>
  <cols>
    <col min="1" max="1" width="110.5546875" bestFit="1" customWidth="1"/>
    <col min="2" max="2" width="18.5546875" style="34" bestFit="1" customWidth="1"/>
  </cols>
  <sheetData>
    <row r="1" spans="1:2" x14ac:dyDescent="0.3">
      <c r="A1" s="1" t="s">
        <v>51</v>
      </c>
      <c r="B1" s="34" t="s">
        <v>245</v>
      </c>
    </row>
    <row r="2" spans="1:2" x14ac:dyDescent="0.3">
      <c r="A2" s="2" t="s">
        <v>33</v>
      </c>
      <c r="B2" s="34">
        <v>1593.75</v>
      </c>
    </row>
    <row r="3" spans="1:2" x14ac:dyDescent="0.3">
      <c r="A3" s="3" t="s">
        <v>214</v>
      </c>
      <c r="B3" s="34">
        <v>86</v>
      </c>
    </row>
    <row r="4" spans="1:2" x14ac:dyDescent="0.3">
      <c r="A4" s="3" t="s">
        <v>209</v>
      </c>
      <c r="B4" s="34">
        <v>74.400000000000006</v>
      </c>
    </row>
    <row r="5" spans="1:2" x14ac:dyDescent="0.3">
      <c r="A5" s="3" t="s">
        <v>215</v>
      </c>
      <c r="B5" s="34">
        <v>69.800000000000011</v>
      </c>
    </row>
    <row r="6" spans="1:2" x14ac:dyDescent="0.3">
      <c r="A6" s="3" t="s">
        <v>210</v>
      </c>
      <c r="B6" s="34">
        <v>68.400000000000006</v>
      </c>
    </row>
    <row r="7" spans="1:2" x14ac:dyDescent="0.3">
      <c r="A7" s="3" t="s">
        <v>194</v>
      </c>
      <c r="B7" s="34">
        <v>67.599999999999994</v>
      </c>
    </row>
    <row r="8" spans="1:2" x14ac:dyDescent="0.3">
      <c r="A8" s="3" t="s">
        <v>195</v>
      </c>
      <c r="B8" s="34">
        <v>66.099999999999994</v>
      </c>
    </row>
    <row r="9" spans="1:2" x14ac:dyDescent="0.3">
      <c r="A9" s="3" t="s">
        <v>196</v>
      </c>
      <c r="B9" s="34">
        <v>65.599999999999994</v>
      </c>
    </row>
    <row r="10" spans="1:2" x14ac:dyDescent="0.3">
      <c r="A10" s="3" t="s">
        <v>204</v>
      </c>
      <c r="B10" s="34">
        <v>60.7</v>
      </c>
    </row>
    <row r="11" spans="1:2" x14ac:dyDescent="0.3">
      <c r="A11" s="3" t="s">
        <v>200</v>
      </c>
      <c r="B11" s="34">
        <v>59.899999999999991</v>
      </c>
    </row>
    <row r="12" spans="1:2" x14ac:dyDescent="0.3">
      <c r="A12" s="3" t="s">
        <v>205</v>
      </c>
      <c r="B12" s="34">
        <v>57.6</v>
      </c>
    </row>
    <row r="13" spans="1:2" x14ac:dyDescent="0.3">
      <c r="A13" s="3" t="s">
        <v>197</v>
      </c>
      <c r="B13" s="34">
        <v>54.1</v>
      </c>
    </row>
    <row r="14" spans="1:2" x14ac:dyDescent="0.3">
      <c r="A14" s="3" t="s">
        <v>206</v>
      </c>
      <c r="B14" s="34">
        <v>53.900000000000006</v>
      </c>
    </row>
    <row r="15" spans="1:2" x14ac:dyDescent="0.3">
      <c r="A15" s="3" t="s">
        <v>201</v>
      </c>
      <c r="B15" s="34">
        <v>50.5</v>
      </c>
    </row>
    <row r="16" spans="1:2" x14ac:dyDescent="0.3">
      <c r="A16" s="3" t="s">
        <v>198</v>
      </c>
      <c r="B16" s="34">
        <v>46.5</v>
      </c>
    </row>
    <row r="17" spans="1:2" x14ac:dyDescent="0.3">
      <c r="A17" s="3" t="s">
        <v>211</v>
      </c>
      <c r="B17" s="34">
        <v>46</v>
      </c>
    </row>
    <row r="18" spans="1:2" x14ac:dyDescent="0.3">
      <c r="A18" s="3" t="s">
        <v>207</v>
      </c>
      <c r="B18" s="34">
        <v>45.7</v>
      </c>
    </row>
    <row r="19" spans="1:2" x14ac:dyDescent="0.3">
      <c r="A19" s="3" t="s">
        <v>202</v>
      </c>
      <c r="B19" s="34">
        <v>45.1</v>
      </c>
    </row>
    <row r="20" spans="1:2" x14ac:dyDescent="0.3">
      <c r="A20" s="3" t="s">
        <v>187</v>
      </c>
      <c r="B20" s="34">
        <v>44.6</v>
      </c>
    </row>
    <row r="21" spans="1:2" x14ac:dyDescent="0.3">
      <c r="A21" s="3" t="s">
        <v>188</v>
      </c>
      <c r="B21" s="34">
        <v>44.15</v>
      </c>
    </row>
    <row r="22" spans="1:2" x14ac:dyDescent="0.3">
      <c r="A22" s="3" t="s">
        <v>189</v>
      </c>
      <c r="B22" s="34">
        <v>42.9</v>
      </c>
    </row>
    <row r="23" spans="1:2" x14ac:dyDescent="0.3">
      <c r="A23" s="3" t="s">
        <v>203</v>
      </c>
      <c r="B23" s="34">
        <v>42.9</v>
      </c>
    </row>
    <row r="24" spans="1:2" x14ac:dyDescent="0.3">
      <c r="A24" s="3" t="s">
        <v>190</v>
      </c>
      <c r="B24" s="34">
        <v>42.599999999999994</v>
      </c>
    </row>
    <row r="25" spans="1:2" x14ac:dyDescent="0.3">
      <c r="A25" s="3" t="s">
        <v>213</v>
      </c>
      <c r="B25" s="34">
        <v>41.9</v>
      </c>
    </row>
    <row r="26" spans="1:2" x14ac:dyDescent="0.3">
      <c r="A26" s="3" t="s">
        <v>191</v>
      </c>
      <c r="B26" s="34">
        <v>41.199999999999996</v>
      </c>
    </row>
    <row r="27" spans="1:2" x14ac:dyDescent="0.3">
      <c r="A27" s="3" t="s">
        <v>192</v>
      </c>
      <c r="B27" s="34">
        <v>38.700000000000003</v>
      </c>
    </row>
    <row r="28" spans="1:2" x14ac:dyDescent="0.3">
      <c r="A28" s="3" t="s">
        <v>208</v>
      </c>
      <c r="B28" s="34">
        <v>36.299999999999997</v>
      </c>
    </row>
    <row r="29" spans="1:2" x14ac:dyDescent="0.3">
      <c r="A29" s="3" t="s">
        <v>183</v>
      </c>
      <c r="B29" s="34">
        <v>36.299999999999997</v>
      </c>
    </row>
    <row r="30" spans="1:2" x14ac:dyDescent="0.3">
      <c r="A30" s="3" t="s">
        <v>199</v>
      </c>
      <c r="B30" s="34">
        <v>34</v>
      </c>
    </row>
    <row r="31" spans="1:2" x14ac:dyDescent="0.3">
      <c r="A31" s="3" t="s">
        <v>184</v>
      </c>
      <c r="B31" s="34">
        <v>32</v>
      </c>
    </row>
    <row r="32" spans="1:2" x14ac:dyDescent="0.3">
      <c r="A32" s="3" t="s">
        <v>193</v>
      </c>
      <c r="B32" s="34">
        <v>28.800000000000004</v>
      </c>
    </row>
    <row r="33" spans="1:2" x14ac:dyDescent="0.3">
      <c r="A33" s="3" t="s">
        <v>185</v>
      </c>
      <c r="B33" s="34">
        <v>24.9</v>
      </c>
    </row>
    <row r="34" spans="1:2" x14ac:dyDescent="0.3">
      <c r="A34" s="3" t="s">
        <v>212</v>
      </c>
      <c r="B34" s="34">
        <v>24.2</v>
      </c>
    </row>
    <row r="35" spans="1:2" x14ac:dyDescent="0.3">
      <c r="A35" s="3" t="s">
        <v>186</v>
      </c>
      <c r="B35" s="34">
        <v>20.399999999999999</v>
      </c>
    </row>
    <row r="36" spans="1:2" x14ac:dyDescent="0.3">
      <c r="A36" s="2" t="s">
        <v>118</v>
      </c>
      <c r="B36" s="34">
        <v>1462.8000000000002</v>
      </c>
    </row>
    <row r="37" spans="1:2" x14ac:dyDescent="0.3">
      <c r="A37" s="3" t="s">
        <v>231</v>
      </c>
      <c r="B37" s="34">
        <v>94.1</v>
      </c>
    </row>
    <row r="38" spans="1:2" x14ac:dyDescent="0.3">
      <c r="A38" s="3" t="s">
        <v>221</v>
      </c>
      <c r="B38" s="34">
        <v>92.6</v>
      </c>
    </row>
    <row r="39" spans="1:2" x14ac:dyDescent="0.3">
      <c r="A39" s="3" t="s">
        <v>238</v>
      </c>
      <c r="B39" s="34">
        <v>91.4</v>
      </c>
    </row>
    <row r="40" spans="1:2" x14ac:dyDescent="0.3">
      <c r="A40" s="3" t="s">
        <v>239</v>
      </c>
      <c r="B40" s="34">
        <v>87.800000000000011</v>
      </c>
    </row>
    <row r="41" spans="1:2" x14ac:dyDescent="0.3">
      <c r="A41" s="3" t="s">
        <v>241</v>
      </c>
      <c r="B41" s="34">
        <v>84.1</v>
      </c>
    </row>
    <row r="42" spans="1:2" x14ac:dyDescent="0.3">
      <c r="A42" s="3" t="s">
        <v>232</v>
      </c>
      <c r="B42" s="34">
        <v>83</v>
      </c>
    </row>
    <row r="43" spans="1:2" x14ac:dyDescent="0.3">
      <c r="A43" s="3" t="s">
        <v>242</v>
      </c>
      <c r="B43" s="34">
        <v>76.400000000000006</v>
      </c>
    </row>
    <row r="44" spans="1:2" x14ac:dyDescent="0.3">
      <c r="A44" s="3" t="s">
        <v>243</v>
      </c>
      <c r="B44" s="34">
        <v>75.5</v>
      </c>
    </row>
    <row r="45" spans="1:2" x14ac:dyDescent="0.3">
      <c r="A45" s="3" t="s">
        <v>240</v>
      </c>
      <c r="B45" s="34">
        <v>66.400000000000006</v>
      </c>
    </row>
    <row r="46" spans="1:2" x14ac:dyDescent="0.3">
      <c r="A46" s="3" t="s">
        <v>237</v>
      </c>
      <c r="B46" s="34">
        <v>61.6</v>
      </c>
    </row>
    <row r="47" spans="1:2" x14ac:dyDescent="0.3">
      <c r="A47" s="3" t="s">
        <v>224</v>
      </c>
      <c r="B47" s="34">
        <v>58</v>
      </c>
    </row>
    <row r="48" spans="1:2" x14ac:dyDescent="0.3">
      <c r="A48" s="3" t="s">
        <v>233</v>
      </c>
      <c r="B48" s="34">
        <v>52</v>
      </c>
    </row>
    <row r="49" spans="1:2" x14ac:dyDescent="0.3">
      <c r="A49" s="3" t="s">
        <v>236</v>
      </c>
      <c r="B49" s="34">
        <v>47.900000000000006</v>
      </c>
    </row>
    <row r="50" spans="1:2" x14ac:dyDescent="0.3">
      <c r="A50" s="3" t="s">
        <v>219</v>
      </c>
      <c r="B50" s="34">
        <v>46.6</v>
      </c>
    </row>
    <row r="51" spans="1:2" x14ac:dyDescent="0.3">
      <c r="A51" s="3" t="s">
        <v>235</v>
      </c>
      <c r="B51" s="34">
        <v>44.900000000000006</v>
      </c>
    </row>
    <row r="52" spans="1:2" x14ac:dyDescent="0.3">
      <c r="A52" s="3" t="s">
        <v>220</v>
      </c>
      <c r="B52" s="34">
        <v>42.4</v>
      </c>
    </row>
    <row r="53" spans="1:2" x14ac:dyDescent="0.3">
      <c r="A53" s="3" t="s">
        <v>222</v>
      </c>
      <c r="B53" s="34">
        <v>41.400000000000006</v>
      </c>
    </row>
    <row r="54" spans="1:2" x14ac:dyDescent="0.3">
      <c r="A54" s="3" t="s">
        <v>225</v>
      </c>
      <c r="B54" s="34">
        <v>40.599999999999994</v>
      </c>
    </row>
    <row r="55" spans="1:2" x14ac:dyDescent="0.3">
      <c r="A55" s="3" t="s">
        <v>223</v>
      </c>
      <c r="B55" s="34">
        <v>38.4</v>
      </c>
    </row>
    <row r="56" spans="1:2" x14ac:dyDescent="0.3">
      <c r="A56" s="3" t="s">
        <v>234</v>
      </c>
      <c r="B56" s="34">
        <v>37.4</v>
      </c>
    </row>
    <row r="57" spans="1:2" x14ac:dyDescent="0.3">
      <c r="A57" s="3" t="s">
        <v>226</v>
      </c>
      <c r="B57" s="34">
        <v>33.1</v>
      </c>
    </row>
    <row r="58" spans="1:2" x14ac:dyDescent="0.3">
      <c r="A58" s="3" t="s">
        <v>227</v>
      </c>
      <c r="B58" s="34">
        <v>30.6</v>
      </c>
    </row>
    <row r="59" spans="1:2" x14ac:dyDescent="0.3">
      <c r="A59" s="3" t="s">
        <v>228</v>
      </c>
      <c r="B59" s="34">
        <v>28.3</v>
      </c>
    </row>
    <row r="60" spans="1:2" x14ac:dyDescent="0.3">
      <c r="A60" s="3" t="s">
        <v>216</v>
      </c>
      <c r="B60" s="34">
        <v>26.1</v>
      </c>
    </row>
    <row r="61" spans="1:2" x14ac:dyDescent="0.3">
      <c r="A61" s="3" t="s">
        <v>229</v>
      </c>
      <c r="B61" s="34">
        <v>24.5</v>
      </c>
    </row>
    <row r="62" spans="1:2" x14ac:dyDescent="0.3">
      <c r="A62" s="3" t="s">
        <v>217</v>
      </c>
      <c r="B62" s="34">
        <v>23.4</v>
      </c>
    </row>
    <row r="63" spans="1:2" x14ac:dyDescent="0.3">
      <c r="A63" s="3" t="s">
        <v>218</v>
      </c>
      <c r="B63" s="34">
        <v>22.3</v>
      </c>
    </row>
    <row r="64" spans="1:2" x14ac:dyDescent="0.3">
      <c r="A64" s="3" t="s">
        <v>230</v>
      </c>
      <c r="B64" s="34">
        <v>12</v>
      </c>
    </row>
    <row r="65" spans="1:2" x14ac:dyDescent="0.3">
      <c r="A65" s="2" t="s">
        <v>26</v>
      </c>
      <c r="B65" s="34">
        <v>6125.2000000000007</v>
      </c>
    </row>
    <row r="66" spans="1:2" x14ac:dyDescent="0.3">
      <c r="A66" s="3" t="s">
        <v>244</v>
      </c>
      <c r="B66" s="34">
        <v>6125.2000000000007</v>
      </c>
    </row>
    <row r="67" spans="1:2" x14ac:dyDescent="0.3">
      <c r="A67" s="2" t="s">
        <v>52</v>
      </c>
      <c r="B67" s="34">
        <v>9181.7500000000018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5C295-7264-41CD-B86E-36F2B6ED7C43}">
  <sheetPr codeName="Sheet39"/>
  <dimension ref="A1:BT93"/>
  <sheetViews>
    <sheetView topLeftCell="X49" workbookViewId="0">
      <selection activeCell="M27" sqref="M27"/>
    </sheetView>
  </sheetViews>
  <sheetFormatPr defaultRowHeight="14.4" x14ac:dyDescent="0.3"/>
  <cols>
    <col min="1" max="1" width="10.44140625" bestFit="1" customWidth="1"/>
    <col min="2" max="8" width="10.44140625" customWidth="1"/>
    <col min="9" max="11" width="10.44140625" style="4" customWidth="1"/>
    <col min="12" max="12" width="10.44140625" style="33" customWidth="1"/>
    <col min="13" max="15" width="10.44140625" style="4" customWidth="1"/>
    <col min="16" max="16" width="10.44140625" style="33" customWidth="1"/>
    <col min="17" max="19" width="10.44140625" style="4" customWidth="1"/>
    <col min="20" max="20" width="10.44140625" style="33" customWidth="1"/>
    <col min="21" max="23" width="10.44140625" style="4" customWidth="1"/>
    <col min="24" max="24" width="10.44140625" style="33" customWidth="1"/>
    <col min="25" max="27" width="10.44140625" style="4" customWidth="1"/>
    <col min="28" max="28" width="10.44140625" style="33" customWidth="1"/>
    <col min="29" max="29" width="10.44140625" customWidth="1"/>
    <col min="30" max="31" width="10.44140625" style="4" customWidth="1"/>
    <col min="32" max="32" width="10.44140625" customWidth="1"/>
    <col min="33" max="34" width="10.44140625" style="4" customWidth="1"/>
    <col min="35" max="35" width="10.44140625" style="33" customWidth="1"/>
    <col min="36" max="38" width="10.44140625" customWidth="1"/>
    <col min="39" max="39" width="110" bestFit="1" customWidth="1"/>
    <col min="40" max="41" width="4.5546875" customWidth="1"/>
    <col min="42" max="42" width="14.109375" bestFit="1" customWidth="1"/>
    <col min="43" max="43" width="15" bestFit="1" customWidth="1"/>
    <col min="44" max="44" width="12.6640625" bestFit="1" customWidth="1"/>
    <col min="45" max="45" width="32.5546875" bestFit="1" customWidth="1"/>
    <col min="46" max="46" width="48.5546875" bestFit="1" customWidth="1"/>
    <col min="47" max="47" width="10.33203125" bestFit="1" customWidth="1"/>
    <col min="48" max="68" width="7.88671875" customWidth="1"/>
    <col min="69" max="69" width="6.88671875" bestFit="1" customWidth="1"/>
    <col min="70" max="70" width="7.33203125" bestFit="1" customWidth="1"/>
    <col min="71" max="71" width="12.44140625" bestFit="1" customWidth="1"/>
    <col min="72" max="72" width="6.5546875" style="4" bestFit="1" customWidth="1"/>
    <col min="73" max="73" width="14.5546875" bestFit="1" customWidth="1"/>
    <col min="74" max="74" width="7.5546875" bestFit="1" customWidth="1"/>
    <col min="75" max="75" width="16" bestFit="1" customWidth="1"/>
    <col min="76" max="76" width="16" customWidth="1"/>
  </cols>
  <sheetData>
    <row r="1" spans="1:72" x14ac:dyDescent="0.3">
      <c r="A1" t="s">
        <v>19</v>
      </c>
      <c r="B1" t="s">
        <v>0</v>
      </c>
      <c r="C1" t="s">
        <v>20</v>
      </c>
      <c r="D1" t="s">
        <v>21</v>
      </c>
      <c r="E1" t="s">
        <v>1</v>
      </c>
      <c r="F1" t="s">
        <v>2</v>
      </c>
      <c r="G1" t="s">
        <v>3</v>
      </c>
      <c r="H1" t="s">
        <v>4</v>
      </c>
      <c r="I1" s="4" t="s">
        <v>5</v>
      </c>
      <c r="J1" s="4" t="s">
        <v>6</v>
      </c>
      <c r="K1" s="4" t="s">
        <v>40</v>
      </c>
      <c r="L1" s="33" t="s">
        <v>7</v>
      </c>
      <c r="M1" s="4" t="s">
        <v>8</v>
      </c>
      <c r="N1" s="4" t="s">
        <v>9</v>
      </c>
      <c r="O1" s="4" t="s">
        <v>37</v>
      </c>
      <c r="P1" s="33" t="s">
        <v>10</v>
      </c>
      <c r="Q1" s="4" t="s">
        <v>42</v>
      </c>
      <c r="R1" s="4" t="s">
        <v>11</v>
      </c>
      <c r="S1" s="4" t="s">
        <v>38</v>
      </c>
      <c r="T1" s="33" t="s">
        <v>12</v>
      </c>
      <c r="U1" s="4" t="s">
        <v>22</v>
      </c>
      <c r="V1" s="4" t="s">
        <v>13</v>
      </c>
      <c r="W1" s="4" t="s">
        <v>39</v>
      </c>
      <c r="X1" s="33" t="s">
        <v>14</v>
      </c>
      <c r="Y1" s="4" t="s">
        <v>43</v>
      </c>
      <c r="Z1" s="4" t="s">
        <v>44</v>
      </c>
      <c r="AA1" s="4" t="s">
        <v>45</v>
      </c>
      <c r="AB1" s="33" t="s">
        <v>46</v>
      </c>
      <c r="AC1" t="s">
        <v>16</v>
      </c>
      <c r="AD1" s="4" t="s">
        <v>34</v>
      </c>
      <c r="AE1" s="4" t="s">
        <v>35</v>
      </c>
      <c r="AF1" t="s">
        <v>36</v>
      </c>
      <c r="AG1" s="4" t="s">
        <v>15</v>
      </c>
      <c r="AH1" s="4" t="s">
        <v>17</v>
      </c>
      <c r="AI1" s="33" t="s">
        <v>18</v>
      </c>
      <c r="AJ1" t="s">
        <v>41</v>
      </c>
      <c r="AK1" t="s">
        <v>50</v>
      </c>
      <c r="AL1" t="s">
        <v>182</v>
      </c>
      <c r="BT1"/>
    </row>
    <row r="2" spans="1:72" x14ac:dyDescent="0.3">
      <c r="A2">
        <v>34</v>
      </c>
      <c r="B2">
        <v>1</v>
      </c>
      <c r="C2" s="32" t="s">
        <v>53</v>
      </c>
      <c r="D2" s="32" t="s">
        <v>30</v>
      </c>
      <c r="E2" s="32"/>
      <c r="F2" t="s">
        <v>59</v>
      </c>
      <c r="G2" s="32" t="s">
        <v>60</v>
      </c>
      <c r="H2" s="32" t="s">
        <v>25</v>
      </c>
      <c r="I2" s="4">
        <v>20.7</v>
      </c>
      <c r="J2" s="4">
        <v>0</v>
      </c>
      <c r="K2" s="4">
        <v>20.7</v>
      </c>
      <c r="L2" s="33">
        <v>1</v>
      </c>
      <c r="O2" s="4">
        <v>0</v>
      </c>
      <c r="P2" s="33">
        <v>1</v>
      </c>
      <c r="Q2" s="4">
        <v>15.6</v>
      </c>
      <c r="R2" s="4">
        <v>0</v>
      </c>
      <c r="S2" s="4">
        <v>15.6</v>
      </c>
      <c r="T2" s="33">
        <v>1</v>
      </c>
      <c r="W2" s="4">
        <v>0</v>
      </c>
      <c r="X2" s="33">
        <v>1</v>
      </c>
      <c r="AA2" s="4">
        <v>0</v>
      </c>
      <c r="AB2" s="33">
        <v>1</v>
      </c>
      <c r="AC2">
        <v>36.299999999999997</v>
      </c>
      <c r="AF2" s="4">
        <v>36.299999999999997</v>
      </c>
      <c r="AG2" s="4">
        <v>18.149999999999999</v>
      </c>
      <c r="AH2" s="4">
        <v>36.299999999999997</v>
      </c>
      <c r="AI2" s="33">
        <v>1</v>
      </c>
      <c r="AJ2" t="s">
        <v>33</v>
      </c>
      <c r="AK2" t="s">
        <v>137</v>
      </c>
      <c r="AL2" t="s">
        <v>183</v>
      </c>
      <c r="BT2"/>
    </row>
    <row r="3" spans="1:72" x14ac:dyDescent="0.3">
      <c r="A3">
        <v>30</v>
      </c>
      <c r="B3">
        <v>1</v>
      </c>
      <c r="C3" s="32" t="s">
        <v>53</v>
      </c>
      <c r="D3" s="32" t="s">
        <v>30</v>
      </c>
      <c r="E3" s="32"/>
      <c r="F3" t="s">
        <v>56</v>
      </c>
      <c r="G3" s="32" t="s">
        <v>57</v>
      </c>
      <c r="H3" s="32" t="s">
        <v>25</v>
      </c>
      <c r="I3" s="4">
        <v>18.5</v>
      </c>
      <c r="J3" s="4">
        <v>0</v>
      </c>
      <c r="K3" s="4">
        <v>18.5</v>
      </c>
      <c r="L3" s="33">
        <v>2</v>
      </c>
      <c r="O3" s="4">
        <v>0</v>
      </c>
      <c r="P3" s="33">
        <v>1</v>
      </c>
      <c r="Q3" s="4">
        <v>13.5</v>
      </c>
      <c r="R3" s="4">
        <v>0</v>
      </c>
      <c r="S3" s="4">
        <v>13.5</v>
      </c>
      <c r="T3" s="33">
        <v>2</v>
      </c>
      <c r="W3" s="4">
        <v>0</v>
      </c>
      <c r="X3" s="33">
        <v>1</v>
      </c>
      <c r="AA3" s="4">
        <v>0</v>
      </c>
      <c r="AB3" s="33">
        <v>1</v>
      </c>
      <c r="AC3">
        <v>32</v>
      </c>
      <c r="AF3" s="4">
        <v>32</v>
      </c>
      <c r="AG3" s="4">
        <v>16</v>
      </c>
      <c r="AH3" s="4">
        <v>32</v>
      </c>
      <c r="AI3" s="33">
        <v>2</v>
      </c>
      <c r="AJ3" t="s">
        <v>33</v>
      </c>
      <c r="AK3" t="s">
        <v>137</v>
      </c>
      <c r="AL3" t="s">
        <v>184</v>
      </c>
      <c r="BS3" s="4"/>
      <c r="BT3"/>
    </row>
    <row r="4" spans="1:72" x14ac:dyDescent="0.3">
      <c r="A4">
        <v>32</v>
      </c>
      <c r="B4">
        <v>1</v>
      </c>
      <c r="C4" s="32" t="s">
        <v>53</v>
      </c>
      <c r="D4" s="32" t="s">
        <v>30</v>
      </c>
      <c r="E4" s="32"/>
      <c r="F4" t="s">
        <v>58</v>
      </c>
      <c r="G4" s="32" t="s">
        <v>24</v>
      </c>
      <c r="H4" s="32" t="s">
        <v>25</v>
      </c>
      <c r="I4" s="4">
        <v>13.6</v>
      </c>
      <c r="J4" s="4">
        <v>0.5</v>
      </c>
      <c r="K4" s="4">
        <v>13.1</v>
      </c>
      <c r="L4" s="33">
        <v>3</v>
      </c>
      <c r="O4" s="4">
        <v>0</v>
      </c>
      <c r="P4" s="33">
        <v>1</v>
      </c>
      <c r="Q4" s="4">
        <v>12.3</v>
      </c>
      <c r="R4" s="4">
        <v>0.5</v>
      </c>
      <c r="S4" s="4">
        <v>11.8</v>
      </c>
      <c r="T4" s="33">
        <v>3</v>
      </c>
      <c r="W4" s="4">
        <v>0</v>
      </c>
      <c r="X4" s="33">
        <v>1</v>
      </c>
      <c r="AA4" s="4">
        <v>0</v>
      </c>
      <c r="AB4" s="33">
        <v>1</v>
      </c>
      <c r="AC4">
        <v>24.9</v>
      </c>
      <c r="AF4" s="4">
        <v>24.9</v>
      </c>
      <c r="AG4" s="4">
        <v>12.95</v>
      </c>
      <c r="AH4" s="4">
        <v>24.9</v>
      </c>
      <c r="AI4" s="33">
        <v>3</v>
      </c>
      <c r="AJ4" t="s">
        <v>33</v>
      </c>
      <c r="AK4" t="s">
        <v>137</v>
      </c>
      <c r="AL4" t="s">
        <v>185</v>
      </c>
      <c r="BS4" s="4"/>
      <c r="BT4"/>
    </row>
    <row r="5" spans="1:72" x14ac:dyDescent="0.3">
      <c r="A5">
        <v>28</v>
      </c>
      <c r="B5">
        <v>1</v>
      </c>
      <c r="C5" s="32" t="s">
        <v>53</v>
      </c>
      <c r="D5" s="32" t="s">
        <v>30</v>
      </c>
      <c r="E5" s="32"/>
      <c r="F5" t="s">
        <v>54</v>
      </c>
      <c r="G5" s="32" t="s">
        <v>55</v>
      </c>
      <c r="H5" s="32" t="s">
        <v>25</v>
      </c>
      <c r="I5" s="4">
        <v>11.3</v>
      </c>
      <c r="J5" s="4">
        <v>1.5</v>
      </c>
      <c r="K5" s="4">
        <v>9.8000000000000007</v>
      </c>
      <c r="L5" s="33">
        <v>4</v>
      </c>
      <c r="O5" s="4">
        <v>0</v>
      </c>
      <c r="P5" s="33">
        <v>1</v>
      </c>
      <c r="Q5" s="4">
        <v>12.1</v>
      </c>
      <c r="R5" s="4">
        <v>1.5</v>
      </c>
      <c r="S5" s="4">
        <v>10.6</v>
      </c>
      <c r="T5" s="33">
        <v>4</v>
      </c>
      <c r="W5" s="4">
        <v>0</v>
      </c>
      <c r="X5" s="33">
        <v>1</v>
      </c>
      <c r="AA5" s="4">
        <v>0</v>
      </c>
      <c r="AB5" s="33">
        <v>1</v>
      </c>
      <c r="AC5">
        <v>20.399999999999999</v>
      </c>
      <c r="AF5" s="4">
        <v>20.399999999999999</v>
      </c>
      <c r="AG5" s="4">
        <v>11.7</v>
      </c>
      <c r="AH5" s="4">
        <v>20.399999999999999</v>
      </c>
      <c r="AI5" s="33">
        <v>4</v>
      </c>
      <c r="AJ5" t="s">
        <v>33</v>
      </c>
      <c r="AK5" t="s">
        <v>137</v>
      </c>
      <c r="AL5" t="s">
        <v>186</v>
      </c>
      <c r="BS5" s="4"/>
      <c r="BT5"/>
    </row>
    <row r="6" spans="1:72" x14ac:dyDescent="0.3">
      <c r="A6">
        <v>29</v>
      </c>
      <c r="B6">
        <v>2</v>
      </c>
      <c r="C6" s="32" t="s">
        <v>53</v>
      </c>
      <c r="D6" s="32" t="s">
        <v>23</v>
      </c>
      <c r="E6" s="32"/>
      <c r="F6" t="s">
        <v>66</v>
      </c>
      <c r="G6" s="32" t="s">
        <v>67</v>
      </c>
      <c r="H6" s="32" t="s">
        <v>25</v>
      </c>
      <c r="K6" s="4">
        <v>0</v>
      </c>
      <c r="L6" s="33">
        <v>1</v>
      </c>
      <c r="M6" s="4">
        <v>20.3</v>
      </c>
      <c r="N6" s="4">
        <v>1.5</v>
      </c>
      <c r="O6" s="4">
        <v>18.8</v>
      </c>
      <c r="P6" s="33">
        <v>1</v>
      </c>
      <c r="S6" s="4">
        <v>0</v>
      </c>
      <c r="T6" s="33">
        <v>1</v>
      </c>
      <c r="U6" s="4">
        <v>14.4</v>
      </c>
      <c r="V6" s="4">
        <v>1.5</v>
      </c>
      <c r="W6" s="4">
        <v>12.9</v>
      </c>
      <c r="X6" s="33">
        <v>3</v>
      </c>
      <c r="Y6" s="4">
        <v>14.4</v>
      </c>
      <c r="Z6" s="4">
        <v>1.5</v>
      </c>
      <c r="AA6" s="4">
        <v>12.9</v>
      </c>
      <c r="AB6" s="33">
        <v>1</v>
      </c>
      <c r="AC6">
        <v>44.6</v>
      </c>
      <c r="AF6" s="4">
        <v>44.6</v>
      </c>
      <c r="AG6" s="4">
        <v>16.366666666666667</v>
      </c>
      <c r="AH6" s="4">
        <v>44.6</v>
      </c>
      <c r="AI6" s="33">
        <v>1</v>
      </c>
      <c r="AJ6" t="s">
        <v>33</v>
      </c>
      <c r="AK6" t="s">
        <v>138</v>
      </c>
      <c r="AL6" t="s">
        <v>187</v>
      </c>
      <c r="BS6" s="4"/>
      <c r="BT6"/>
    </row>
    <row r="7" spans="1:72" x14ac:dyDescent="0.3">
      <c r="A7">
        <v>31</v>
      </c>
      <c r="B7">
        <v>2</v>
      </c>
      <c r="C7" s="32" t="s">
        <v>53</v>
      </c>
      <c r="D7" s="32" t="s">
        <v>23</v>
      </c>
      <c r="E7" s="32"/>
      <c r="F7" t="s">
        <v>68</v>
      </c>
      <c r="G7" s="32" t="s">
        <v>31</v>
      </c>
      <c r="H7" s="32" t="s">
        <v>25</v>
      </c>
      <c r="K7" s="4">
        <v>0</v>
      </c>
      <c r="L7" s="33">
        <v>1</v>
      </c>
      <c r="M7" s="4">
        <v>18.7</v>
      </c>
      <c r="N7" s="4">
        <v>0</v>
      </c>
      <c r="O7" s="4">
        <v>18.7</v>
      </c>
      <c r="P7" s="33">
        <v>2</v>
      </c>
      <c r="S7" s="4">
        <v>0</v>
      </c>
      <c r="T7" s="33">
        <v>1</v>
      </c>
      <c r="U7" s="4">
        <v>13.8</v>
      </c>
      <c r="V7" s="4">
        <v>0</v>
      </c>
      <c r="W7" s="4">
        <v>13.8</v>
      </c>
      <c r="X7" s="33">
        <v>2</v>
      </c>
      <c r="Y7" s="4">
        <v>11.65</v>
      </c>
      <c r="Z7" s="4">
        <v>0</v>
      </c>
      <c r="AA7" s="4">
        <v>11.65</v>
      </c>
      <c r="AB7" s="33">
        <v>5</v>
      </c>
      <c r="AC7">
        <v>44.15</v>
      </c>
      <c r="AF7" s="4">
        <v>44.15</v>
      </c>
      <c r="AG7" s="4">
        <v>14.716666666666667</v>
      </c>
      <c r="AH7" s="4">
        <v>44.15</v>
      </c>
      <c r="AI7" s="33">
        <v>2</v>
      </c>
      <c r="AJ7" t="s">
        <v>33</v>
      </c>
      <c r="AK7" t="s">
        <v>138</v>
      </c>
      <c r="AL7" t="s">
        <v>188</v>
      </c>
      <c r="BS7" s="4"/>
      <c r="BT7"/>
    </row>
    <row r="8" spans="1:72" x14ac:dyDescent="0.3">
      <c r="A8">
        <v>19</v>
      </c>
      <c r="B8">
        <v>2</v>
      </c>
      <c r="C8" s="32" t="s">
        <v>53</v>
      </c>
      <c r="D8" s="32" t="s">
        <v>23</v>
      </c>
      <c r="E8" s="32"/>
      <c r="F8" t="s">
        <v>61</v>
      </c>
      <c r="G8" s="32" t="s">
        <v>31</v>
      </c>
      <c r="H8" s="32" t="s">
        <v>25</v>
      </c>
      <c r="K8" s="4">
        <v>0</v>
      </c>
      <c r="L8" s="33">
        <v>1</v>
      </c>
      <c r="M8" s="4">
        <v>18.399999999999999</v>
      </c>
      <c r="N8" s="4">
        <v>0.5</v>
      </c>
      <c r="O8" s="4">
        <v>17.899999999999999</v>
      </c>
      <c r="P8" s="33">
        <v>3</v>
      </c>
      <c r="S8" s="4">
        <v>0</v>
      </c>
      <c r="T8" s="33">
        <v>1</v>
      </c>
      <c r="U8" s="4">
        <v>13.2</v>
      </c>
      <c r="V8" s="4">
        <v>0.5</v>
      </c>
      <c r="W8" s="4">
        <v>12.7</v>
      </c>
      <c r="X8" s="33">
        <v>4</v>
      </c>
      <c r="Y8" s="4">
        <v>12.8</v>
      </c>
      <c r="Z8" s="4">
        <v>0.5</v>
      </c>
      <c r="AA8" s="4">
        <v>12.3</v>
      </c>
      <c r="AB8" s="33">
        <v>2</v>
      </c>
      <c r="AC8">
        <v>42.9</v>
      </c>
      <c r="AF8" s="4">
        <v>42.9</v>
      </c>
      <c r="AG8" s="4">
        <v>14.799999999999999</v>
      </c>
      <c r="AH8" s="4">
        <v>42.9</v>
      </c>
      <c r="AI8" s="33">
        <v>3</v>
      </c>
      <c r="AJ8" t="s">
        <v>33</v>
      </c>
      <c r="AK8" t="s">
        <v>138</v>
      </c>
      <c r="AL8" t="s">
        <v>189</v>
      </c>
      <c r="BS8" s="4"/>
      <c r="BT8"/>
    </row>
    <row r="9" spans="1:72" x14ac:dyDescent="0.3">
      <c r="A9">
        <v>25</v>
      </c>
      <c r="B9">
        <v>2</v>
      </c>
      <c r="C9" s="32" t="s">
        <v>53</v>
      </c>
      <c r="D9" s="32" t="s">
        <v>23</v>
      </c>
      <c r="E9" s="32"/>
      <c r="F9" t="s">
        <v>64</v>
      </c>
      <c r="G9" s="32" t="s">
        <v>31</v>
      </c>
      <c r="H9" s="32" t="s">
        <v>25</v>
      </c>
      <c r="K9" s="4">
        <v>0</v>
      </c>
      <c r="L9" s="33">
        <v>1</v>
      </c>
      <c r="M9" s="4">
        <v>17</v>
      </c>
      <c r="N9" s="4">
        <v>0.5</v>
      </c>
      <c r="O9" s="4">
        <v>16.5</v>
      </c>
      <c r="P9" s="33">
        <v>6</v>
      </c>
      <c r="S9" s="4">
        <v>0</v>
      </c>
      <c r="T9" s="33">
        <v>1</v>
      </c>
      <c r="U9" s="4">
        <v>14.4</v>
      </c>
      <c r="V9" s="4">
        <v>0.5</v>
      </c>
      <c r="W9" s="4">
        <v>13.9</v>
      </c>
      <c r="X9" s="33">
        <v>1</v>
      </c>
      <c r="Y9" s="4">
        <v>12.7</v>
      </c>
      <c r="Z9" s="4">
        <v>0.5</v>
      </c>
      <c r="AA9" s="4">
        <v>12.2</v>
      </c>
      <c r="AB9" s="33">
        <v>3</v>
      </c>
      <c r="AC9">
        <v>42.599999999999994</v>
      </c>
      <c r="AF9" s="4">
        <v>42.599999999999994</v>
      </c>
      <c r="AG9" s="4">
        <v>14.699999999999998</v>
      </c>
      <c r="AH9" s="4">
        <v>42.599999999999994</v>
      </c>
      <c r="AI9" s="33">
        <v>4</v>
      </c>
      <c r="AJ9" t="s">
        <v>33</v>
      </c>
      <c r="AK9" t="s">
        <v>138</v>
      </c>
      <c r="AL9" t="s">
        <v>190</v>
      </c>
      <c r="BS9" s="4"/>
      <c r="BT9"/>
    </row>
    <row r="10" spans="1:72" x14ac:dyDescent="0.3">
      <c r="A10">
        <v>21</v>
      </c>
      <c r="B10">
        <v>2</v>
      </c>
      <c r="C10" s="32" t="s">
        <v>53</v>
      </c>
      <c r="D10" s="32" t="s">
        <v>23</v>
      </c>
      <c r="E10" s="32"/>
      <c r="F10" t="s">
        <v>62</v>
      </c>
      <c r="G10" s="32" t="s">
        <v>31</v>
      </c>
      <c r="H10" s="32" t="s">
        <v>25</v>
      </c>
      <c r="K10" s="4">
        <v>0</v>
      </c>
      <c r="L10" s="33">
        <v>1</v>
      </c>
      <c r="M10" s="4">
        <v>17.2</v>
      </c>
      <c r="N10" s="4">
        <v>0.5</v>
      </c>
      <c r="O10" s="4">
        <v>16.7</v>
      </c>
      <c r="P10" s="33">
        <v>4</v>
      </c>
      <c r="S10" s="4">
        <v>0</v>
      </c>
      <c r="T10" s="33">
        <v>1</v>
      </c>
      <c r="U10" s="4">
        <v>13.1</v>
      </c>
      <c r="V10" s="4">
        <v>0.5</v>
      </c>
      <c r="W10" s="4">
        <v>12.6</v>
      </c>
      <c r="X10" s="33">
        <v>5</v>
      </c>
      <c r="Y10" s="4">
        <v>12.4</v>
      </c>
      <c r="Z10" s="4">
        <v>0.5</v>
      </c>
      <c r="AA10" s="4">
        <v>11.9</v>
      </c>
      <c r="AB10" s="33">
        <v>4</v>
      </c>
      <c r="AC10">
        <v>41.199999999999996</v>
      </c>
      <c r="AF10" s="4">
        <v>41.199999999999996</v>
      </c>
      <c r="AG10" s="4">
        <v>14.233333333333333</v>
      </c>
      <c r="AH10" s="4">
        <v>41.199999999999996</v>
      </c>
      <c r="AI10" s="33">
        <v>5</v>
      </c>
      <c r="AJ10" t="s">
        <v>33</v>
      </c>
      <c r="AK10" t="s">
        <v>138</v>
      </c>
      <c r="AL10" t="s">
        <v>191</v>
      </c>
      <c r="BS10" s="4"/>
      <c r="BT10"/>
    </row>
    <row r="11" spans="1:72" x14ac:dyDescent="0.3">
      <c r="A11">
        <v>27</v>
      </c>
      <c r="B11">
        <v>2</v>
      </c>
      <c r="C11" s="32" t="s">
        <v>53</v>
      </c>
      <c r="D11" s="32" t="s">
        <v>23</v>
      </c>
      <c r="E11" s="32"/>
      <c r="F11" t="s">
        <v>65</v>
      </c>
      <c r="G11" s="32" t="s">
        <v>24</v>
      </c>
      <c r="H11" s="32" t="s">
        <v>25</v>
      </c>
      <c r="K11" s="4">
        <v>0</v>
      </c>
      <c r="L11" s="33">
        <v>1</v>
      </c>
      <c r="M11" s="4">
        <v>17.100000000000001</v>
      </c>
      <c r="N11" s="4">
        <v>0.5</v>
      </c>
      <c r="O11" s="4">
        <v>16.600000000000001</v>
      </c>
      <c r="P11" s="33">
        <v>5</v>
      </c>
      <c r="S11" s="4">
        <v>0</v>
      </c>
      <c r="T11" s="33">
        <v>1</v>
      </c>
      <c r="U11" s="4">
        <v>12.6</v>
      </c>
      <c r="V11" s="4">
        <v>0.5</v>
      </c>
      <c r="W11" s="4">
        <v>12.1</v>
      </c>
      <c r="X11" s="33">
        <v>6</v>
      </c>
      <c r="Y11" s="4">
        <v>10.5</v>
      </c>
      <c r="Z11" s="4">
        <v>0.5</v>
      </c>
      <c r="AA11" s="4">
        <v>10</v>
      </c>
      <c r="AB11" s="33">
        <v>6</v>
      </c>
      <c r="AC11">
        <v>38.700000000000003</v>
      </c>
      <c r="AF11" s="4">
        <v>38.700000000000003</v>
      </c>
      <c r="AG11" s="4">
        <v>13.4</v>
      </c>
      <c r="AH11" s="4">
        <v>38.700000000000003</v>
      </c>
      <c r="AI11" s="33">
        <v>6</v>
      </c>
      <c r="AJ11" t="s">
        <v>33</v>
      </c>
      <c r="AK11" t="s">
        <v>138</v>
      </c>
      <c r="AL11" t="s">
        <v>192</v>
      </c>
      <c r="BS11" s="4"/>
      <c r="BT11"/>
    </row>
    <row r="12" spans="1:72" x14ac:dyDescent="0.3">
      <c r="A12">
        <v>23</v>
      </c>
      <c r="B12">
        <v>2</v>
      </c>
      <c r="C12" s="32" t="s">
        <v>53</v>
      </c>
      <c r="D12" s="32" t="s">
        <v>23</v>
      </c>
      <c r="E12" s="32"/>
      <c r="F12" t="s">
        <v>63</v>
      </c>
      <c r="G12" s="32" t="s">
        <v>24</v>
      </c>
      <c r="H12" s="32" t="s">
        <v>25</v>
      </c>
      <c r="K12" s="4">
        <v>0</v>
      </c>
      <c r="L12" s="33">
        <v>1</v>
      </c>
      <c r="M12" s="4">
        <v>13.9</v>
      </c>
      <c r="N12" s="4">
        <v>1.5</v>
      </c>
      <c r="O12" s="4">
        <v>12.4</v>
      </c>
      <c r="P12" s="33">
        <v>7</v>
      </c>
      <c r="S12" s="4">
        <v>0</v>
      </c>
      <c r="T12" s="33">
        <v>1</v>
      </c>
      <c r="U12" s="4">
        <v>10.8</v>
      </c>
      <c r="V12" s="4">
        <v>1.5</v>
      </c>
      <c r="W12" s="4">
        <v>9.3000000000000007</v>
      </c>
      <c r="X12" s="33">
        <v>7</v>
      </c>
      <c r="Y12" s="4">
        <v>8.6</v>
      </c>
      <c r="Z12" s="4">
        <v>1.5</v>
      </c>
      <c r="AA12" s="4">
        <v>7.1</v>
      </c>
      <c r="AB12" s="33">
        <v>7</v>
      </c>
      <c r="AC12">
        <v>28.800000000000004</v>
      </c>
      <c r="AF12" s="4">
        <v>28.800000000000004</v>
      </c>
      <c r="AG12" s="4">
        <v>11.100000000000001</v>
      </c>
      <c r="AH12" s="4">
        <v>28.800000000000004</v>
      </c>
      <c r="AI12" s="33">
        <v>7</v>
      </c>
      <c r="AJ12" t="s">
        <v>33</v>
      </c>
      <c r="AK12" t="s">
        <v>138</v>
      </c>
      <c r="AL12" t="s">
        <v>193</v>
      </c>
      <c r="BS12" s="4"/>
      <c r="BT12"/>
    </row>
    <row r="13" spans="1:72" x14ac:dyDescent="0.3">
      <c r="A13">
        <v>36</v>
      </c>
      <c r="B13">
        <v>1</v>
      </c>
      <c r="C13" s="32" t="s">
        <v>53</v>
      </c>
      <c r="D13" s="32" t="s">
        <v>27</v>
      </c>
      <c r="E13" s="32"/>
      <c r="F13" t="s">
        <v>69</v>
      </c>
      <c r="G13" s="32" t="s">
        <v>67</v>
      </c>
      <c r="H13" s="32" t="s">
        <v>25</v>
      </c>
      <c r="I13" s="4">
        <v>33.4</v>
      </c>
      <c r="J13" s="4">
        <v>0.5</v>
      </c>
      <c r="K13" s="4">
        <v>32.9</v>
      </c>
      <c r="L13" s="33">
        <v>1</v>
      </c>
      <c r="O13" s="4">
        <v>0</v>
      </c>
      <c r="P13" s="33">
        <v>1</v>
      </c>
      <c r="Q13" s="4">
        <v>35.200000000000003</v>
      </c>
      <c r="R13" s="4">
        <v>0.5</v>
      </c>
      <c r="S13" s="4">
        <v>34.700000000000003</v>
      </c>
      <c r="T13" s="33">
        <v>1</v>
      </c>
      <c r="W13" s="4">
        <v>0</v>
      </c>
      <c r="X13" s="33">
        <v>1</v>
      </c>
      <c r="AA13" s="4">
        <v>0</v>
      </c>
      <c r="AB13" s="33">
        <v>1</v>
      </c>
      <c r="AC13">
        <v>67.599999999999994</v>
      </c>
      <c r="AF13" s="4">
        <v>67.599999999999994</v>
      </c>
      <c r="AG13" s="4">
        <v>34.299999999999997</v>
      </c>
      <c r="AH13" s="4">
        <v>67.599999999999994</v>
      </c>
      <c r="AI13" s="33">
        <v>1</v>
      </c>
      <c r="AJ13" t="s">
        <v>33</v>
      </c>
      <c r="AK13" t="s">
        <v>142</v>
      </c>
      <c r="AL13" t="s">
        <v>194</v>
      </c>
      <c r="BS13" s="4"/>
      <c r="BT13"/>
    </row>
    <row r="14" spans="1:72" x14ac:dyDescent="0.3">
      <c r="A14">
        <v>40</v>
      </c>
      <c r="B14">
        <v>1</v>
      </c>
      <c r="C14" s="32" t="s">
        <v>53</v>
      </c>
      <c r="D14" s="32" t="s">
        <v>27</v>
      </c>
      <c r="E14" s="32"/>
      <c r="F14" t="s">
        <v>71</v>
      </c>
      <c r="G14" s="32" t="s">
        <v>55</v>
      </c>
      <c r="H14" s="32" t="s">
        <v>25</v>
      </c>
      <c r="I14" s="4">
        <v>32.4</v>
      </c>
      <c r="J14" s="4">
        <v>0</v>
      </c>
      <c r="K14" s="4">
        <v>32.4</v>
      </c>
      <c r="L14" s="33">
        <v>2</v>
      </c>
      <c r="O14" s="4">
        <v>0</v>
      </c>
      <c r="P14" s="33">
        <v>1</v>
      </c>
      <c r="Q14" s="4">
        <v>33.700000000000003</v>
      </c>
      <c r="R14" s="4">
        <v>0</v>
      </c>
      <c r="S14" s="4">
        <v>33.700000000000003</v>
      </c>
      <c r="T14" s="33">
        <v>2</v>
      </c>
      <c r="W14" s="4">
        <v>0</v>
      </c>
      <c r="X14" s="33">
        <v>1</v>
      </c>
      <c r="AA14" s="4">
        <v>0</v>
      </c>
      <c r="AB14" s="33">
        <v>1</v>
      </c>
      <c r="AC14">
        <v>66.099999999999994</v>
      </c>
      <c r="AF14" s="4">
        <v>66.099999999999994</v>
      </c>
      <c r="AG14" s="4">
        <v>33.049999999999997</v>
      </c>
      <c r="AH14" s="4">
        <v>66.099999999999994</v>
      </c>
      <c r="AI14" s="33">
        <v>2</v>
      </c>
      <c r="AJ14" t="s">
        <v>33</v>
      </c>
      <c r="AK14" t="s">
        <v>142</v>
      </c>
      <c r="AL14" t="s">
        <v>195</v>
      </c>
      <c r="BS14" s="4"/>
      <c r="BT14"/>
    </row>
    <row r="15" spans="1:72" x14ac:dyDescent="0.3">
      <c r="A15">
        <v>38</v>
      </c>
      <c r="B15">
        <v>1</v>
      </c>
      <c r="C15" s="32" t="s">
        <v>53</v>
      </c>
      <c r="D15" s="32" t="s">
        <v>27</v>
      </c>
      <c r="E15" s="32"/>
      <c r="F15" t="s">
        <v>70</v>
      </c>
      <c r="G15" s="32" t="s">
        <v>60</v>
      </c>
      <c r="H15" s="32" t="s">
        <v>25</v>
      </c>
      <c r="I15" s="4">
        <v>32</v>
      </c>
      <c r="J15" s="4">
        <v>0</v>
      </c>
      <c r="K15" s="4">
        <v>32</v>
      </c>
      <c r="L15" s="33">
        <v>3</v>
      </c>
      <c r="O15" s="4">
        <v>0</v>
      </c>
      <c r="P15" s="33">
        <v>1</v>
      </c>
      <c r="Q15" s="4">
        <v>33.6</v>
      </c>
      <c r="R15" s="4">
        <v>0</v>
      </c>
      <c r="S15" s="4">
        <v>33.6</v>
      </c>
      <c r="T15" s="33">
        <v>3</v>
      </c>
      <c r="W15" s="4">
        <v>0</v>
      </c>
      <c r="X15" s="33">
        <v>1</v>
      </c>
      <c r="AA15" s="4">
        <v>0</v>
      </c>
      <c r="AB15" s="33">
        <v>1</v>
      </c>
      <c r="AC15">
        <v>65.599999999999994</v>
      </c>
      <c r="AF15" s="4">
        <v>65.599999999999994</v>
      </c>
      <c r="AG15" s="4">
        <v>32.799999999999997</v>
      </c>
      <c r="AH15" s="4">
        <v>65.599999999999994</v>
      </c>
      <c r="AI15" s="33">
        <v>3</v>
      </c>
      <c r="AJ15" t="s">
        <v>33</v>
      </c>
      <c r="AK15" t="s">
        <v>142</v>
      </c>
      <c r="AL15" t="s">
        <v>196</v>
      </c>
      <c r="BS15" s="4"/>
      <c r="BT15"/>
    </row>
    <row r="16" spans="1:72" x14ac:dyDescent="0.3">
      <c r="A16">
        <v>44</v>
      </c>
      <c r="B16">
        <v>1</v>
      </c>
      <c r="C16" s="32" t="s">
        <v>53</v>
      </c>
      <c r="D16" s="32" t="s">
        <v>27</v>
      </c>
      <c r="E16" s="32"/>
      <c r="F16" t="s">
        <v>47</v>
      </c>
      <c r="G16" s="32" t="s">
        <v>31</v>
      </c>
      <c r="H16" s="32" t="s">
        <v>25</v>
      </c>
      <c r="I16" s="4">
        <v>22</v>
      </c>
      <c r="J16" s="4">
        <v>1.5</v>
      </c>
      <c r="K16" s="4">
        <v>20.5</v>
      </c>
      <c r="L16" s="33">
        <v>4</v>
      </c>
      <c r="O16" s="4">
        <v>0</v>
      </c>
      <c r="P16" s="33">
        <v>1</v>
      </c>
      <c r="Q16" s="4">
        <v>35.1</v>
      </c>
      <c r="R16" s="4">
        <v>1.5</v>
      </c>
      <c r="S16" s="4">
        <v>33.6</v>
      </c>
      <c r="T16" s="33">
        <v>3</v>
      </c>
      <c r="W16" s="4">
        <v>0</v>
      </c>
      <c r="X16" s="33">
        <v>1</v>
      </c>
      <c r="AA16" s="4">
        <v>0</v>
      </c>
      <c r="AB16" s="33">
        <v>1</v>
      </c>
      <c r="AC16">
        <v>54.1</v>
      </c>
      <c r="AF16" s="4">
        <v>54.1</v>
      </c>
      <c r="AG16" s="4">
        <v>28.55</v>
      </c>
      <c r="AH16" s="4">
        <v>54.1</v>
      </c>
      <c r="AI16" s="33">
        <v>4</v>
      </c>
      <c r="AJ16" t="s">
        <v>33</v>
      </c>
      <c r="AK16" t="s">
        <v>142</v>
      </c>
      <c r="AL16" t="s">
        <v>197</v>
      </c>
      <c r="BS16" s="4"/>
      <c r="BT16"/>
    </row>
    <row r="17" spans="1:72" x14ac:dyDescent="0.3">
      <c r="A17">
        <v>46</v>
      </c>
      <c r="B17">
        <v>1</v>
      </c>
      <c r="C17" s="32" t="s">
        <v>53</v>
      </c>
      <c r="D17" s="32" t="s">
        <v>27</v>
      </c>
      <c r="E17" s="32"/>
      <c r="F17" t="s">
        <v>48</v>
      </c>
      <c r="G17" s="32" t="s">
        <v>31</v>
      </c>
      <c r="H17" s="32" t="s">
        <v>25</v>
      </c>
      <c r="I17" s="4">
        <v>21.9</v>
      </c>
      <c r="J17" s="4">
        <v>1.5</v>
      </c>
      <c r="K17" s="4">
        <v>20.399999999999999</v>
      </c>
      <c r="L17" s="33">
        <v>5</v>
      </c>
      <c r="O17" s="4">
        <v>0</v>
      </c>
      <c r="P17" s="33">
        <v>1</v>
      </c>
      <c r="Q17" s="4">
        <v>27.6</v>
      </c>
      <c r="R17" s="4">
        <v>1.5</v>
      </c>
      <c r="S17" s="4">
        <v>26.1</v>
      </c>
      <c r="T17" s="33">
        <v>5</v>
      </c>
      <c r="W17" s="4">
        <v>0</v>
      </c>
      <c r="X17" s="33">
        <v>1</v>
      </c>
      <c r="AA17" s="4">
        <v>0</v>
      </c>
      <c r="AB17" s="33">
        <v>1</v>
      </c>
      <c r="AC17">
        <v>46.5</v>
      </c>
      <c r="AF17" s="4">
        <v>46.5</v>
      </c>
      <c r="AG17" s="4">
        <v>24.75</v>
      </c>
      <c r="AH17" s="4">
        <v>46.5</v>
      </c>
      <c r="AI17" s="33">
        <v>5</v>
      </c>
      <c r="AJ17" t="s">
        <v>33</v>
      </c>
      <c r="AK17" t="s">
        <v>142</v>
      </c>
      <c r="AL17" t="s">
        <v>198</v>
      </c>
      <c r="BS17" s="4"/>
      <c r="BT17"/>
    </row>
    <row r="18" spans="1:72" x14ac:dyDescent="0.3">
      <c r="A18">
        <v>42</v>
      </c>
      <c r="B18">
        <v>1</v>
      </c>
      <c r="C18" s="32" t="s">
        <v>53</v>
      </c>
      <c r="D18" s="32" t="s">
        <v>27</v>
      </c>
      <c r="E18" s="32"/>
      <c r="F18" t="s">
        <v>72</v>
      </c>
      <c r="G18" s="32" t="s">
        <v>73</v>
      </c>
      <c r="H18" s="32" t="s">
        <v>25</v>
      </c>
      <c r="I18" s="4">
        <v>19</v>
      </c>
      <c r="J18" s="4">
        <v>2.5</v>
      </c>
      <c r="K18" s="4">
        <v>16.5</v>
      </c>
      <c r="L18" s="33">
        <v>6</v>
      </c>
      <c r="O18" s="4">
        <v>0</v>
      </c>
      <c r="P18" s="33">
        <v>1</v>
      </c>
      <c r="Q18" s="4">
        <v>20</v>
      </c>
      <c r="R18" s="4">
        <v>2.5</v>
      </c>
      <c r="S18" s="4">
        <v>17.5</v>
      </c>
      <c r="T18" s="33">
        <v>6</v>
      </c>
      <c r="W18" s="4">
        <v>0</v>
      </c>
      <c r="X18" s="33">
        <v>1</v>
      </c>
      <c r="AA18" s="4">
        <v>0</v>
      </c>
      <c r="AB18" s="33">
        <v>1</v>
      </c>
      <c r="AC18">
        <v>34</v>
      </c>
      <c r="AF18" s="4">
        <v>34</v>
      </c>
      <c r="AG18" s="4">
        <v>19.5</v>
      </c>
      <c r="AH18" s="4">
        <v>34</v>
      </c>
      <c r="AI18" s="33">
        <v>6</v>
      </c>
      <c r="AJ18" t="s">
        <v>33</v>
      </c>
      <c r="AK18" t="s">
        <v>142</v>
      </c>
      <c r="AL18" t="s">
        <v>199</v>
      </c>
      <c r="BS18" s="4"/>
      <c r="BT18"/>
    </row>
    <row r="19" spans="1:72" x14ac:dyDescent="0.3">
      <c r="A19">
        <v>35</v>
      </c>
      <c r="B19">
        <v>2</v>
      </c>
      <c r="C19" s="32" t="s">
        <v>53</v>
      </c>
      <c r="D19" s="32" t="s">
        <v>29</v>
      </c>
      <c r="E19" s="32"/>
      <c r="F19" t="s">
        <v>75</v>
      </c>
      <c r="G19" s="32" t="s">
        <v>31</v>
      </c>
      <c r="H19" s="32" t="s">
        <v>25</v>
      </c>
      <c r="K19" s="4">
        <v>0</v>
      </c>
      <c r="L19" s="33">
        <v>1</v>
      </c>
      <c r="M19" s="4">
        <v>24.2</v>
      </c>
      <c r="N19" s="4">
        <v>0</v>
      </c>
      <c r="O19" s="4">
        <v>24.2</v>
      </c>
      <c r="P19" s="33">
        <v>1</v>
      </c>
      <c r="S19" s="4">
        <v>0</v>
      </c>
      <c r="T19" s="33">
        <v>1</v>
      </c>
      <c r="U19" s="4">
        <v>19.899999999999999</v>
      </c>
      <c r="V19" s="4">
        <v>0</v>
      </c>
      <c r="W19" s="4">
        <v>19.899999999999999</v>
      </c>
      <c r="X19" s="33">
        <v>1</v>
      </c>
      <c r="Y19" s="4">
        <v>15.8</v>
      </c>
      <c r="Z19" s="4">
        <v>0</v>
      </c>
      <c r="AA19" s="4">
        <v>15.8</v>
      </c>
      <c r="AB19" s="33">
        <v>1</v>
      </c>
      <c r="AC19">
        <v>59.899999999999991</v>
      </c>
      <c r="AF19" s="4">
        <v>59.899999999999991</v>
      </c>
      <c r="AG19" s="4">
        <v>19.966666666666665</v>
      </c>
      <c r="AH19" s="4">
        <v>59.899999999999991</v>
      </c>
      <c r="AI19" s="33">
        <v>1</v>
      </c>
      <c r="AJ19" t="s">
        <v>33</v>
      </c>
      <c r="AK19" t="s">
        <v>143</v>
      </c>
      <c r="AL19" t="s">
        <v>200</v>
      </c>
      <c r="BS19" s="4"/>
      <c r="BT19"/>
    </row>
    <row r="20" spans="1:72" x14ac:dyDescent="0.3">
      <c r="A20">
        <v>33</v>
      </c>
      <c r="B20">
        <v>2</v>
      </c>
      <c r="C20" s="32" t="s">
        <v>53</v>
      </c>
      <c r="D20" s="32" t="s">
        <v>29</v>
      </c>
      <c r="E20" s="32"/>
      <c r="F20" t="s">
        <v>74</v>
      </c>
      <c r="G20" s="32" t="s">
        <v>55</v>
      </c>
      <c r="H20" s="32" t="s">
        <v>25</v>
      </c>
      <c r="K20" s="4">
        <v>0</v>
      </c>
      <c r="L20" s="33">
        <v>1</v>
      </c>
      <c r="M20" s="4">
        <v>16.7</v>
      </c>
      <c r="N20" s="4">
        <v>0.5</v>
      </c>
      <c r="O20" s="4">
        <v>16.2</v>
      </c>
      <c r="P20" s="33">
        <v>2</v>
      </c>
      <c r="S20" s="4">
        <v>0</v>
      </c>
      <c r="T20" s="33">
        <v>1</v>
      </c>
      <c r="U20" s="4">
        <v>19.100000000000001</v>
      </c>
      <c r="V20" s="4">
        <v>0.5</v>
      </c>
      <c r="W20" s="4">
        <v>18.600000000000001</v>
      </c>
      <c r="X20" s="33">
        <v>2</v>
      </c>
      <c r="Y20" s="4">
        <v>16.2</v>
      </c>
      <c r="Z20" s="4">
        <v>0.5</v>
      </c>
      <c r="AA20" s="4">
        <v>15.7</v>
      </c>
      <c r="AB20" s="33">
        <v>2</v>
      </c>
      <c r="AC20">
        <v>50.5</v>
      </c>
      <c r="AF20" s="4">
        <v>50.5</v>
      </c>
      <c r="AG20" s="4">
        <v>17.333333333333332</v>
      </c>
      <c r="AH20" s="4">
        <v>50.5</v>
      </c>
      <c r="AI20" s="33">
        <v>2</v>
      </c>
      <c r="AJ20" t="s">
        <v>33</v>
      </c>
      <c r="AK20" t="s">
        <v>143</v>
      </c>
      <c r="AL20" t="s">
        <v>201</v>
      </c>
      <c r="BS20" s="4"/>
      <c r="BT20"/>
    </row>
    <row r="21" spans="1:72" x14ac:dyDescent="0.3">
      <c r="A21">
        <v>18</v>
      </c>
      <c r="B21">
        <v>1</v>
      </c>
      <c r="C21" s="32" t="s">
        <v>81</v>
      </c>
      <c r="D21" s="32" t="s">
        <v>30</v>
      </c>
      <c r="E21" s="32"/>
      <c r="F21" t="s">
        <v>82</v>
      </c>
      <c r="G21" s="32" t="s">
        <v>83</v>
      </c>
      <c r="H21" s="32" t="s">
        <v>28</v>
      </c>
      <c r="I21" s="4">
        <v>23</v>
      </c>
      <c r="J21" s="4">
        <v>1</v>
      </c>
      <c r="K21" s="4">
        <v>22</v>
      </c>
      <c r="L21" s="33">
        <v>1</v>
      </c>
      <c r="O21" s="4">
        <v>0</v>
      </c>
      <c r="P21" s="33">
        <v>1</v>
      </c>
      <c r="Q21" s="4">
        <v>24.1</v>
      </c>
      <c r="R21" s="4">
        <v>1</v>
      </c>
      <c r="S21" s="4">
        <v>23.1</v>
      </c>
      <c r="T21" s="33">
        <v>1</v>
      </c>
      <c r="W21" s="4">
        <v>0</v>
      </c>
      <c r="X21" s="33">
        <v>1</v>
      </c>
      <c r="AA21" s="4">
        <v>0</v>
      </c>
      <c r="AB21" s="33">
        <v>1</v>
      </c>
      <c r="AC21">
        <v>45.1</v>
      </c>
      <c r="AF21" s="4">
        <v>45.1</v>
      </c>
      <c r="AG21" s="4">
        <v>23.55</v>
      </c>
      <c r="AH21" s="4">
        <v>45.1</v>
      </c>
      <c r="AI21" s="33">
        <v>1</v>
      </c>
      <c r="AJ21" t="s">
        <v>33</v>
      </c>
      <c r="AK21" t="s">
        <v>144</v>
      </c>
      <c r="AL21" t="s">
        <v>202</v>
      </c>
      <c r="BS21" s="4"/>
      <c r="BT21"/>
    </row>
    <row r="22" spans="1:72" x14ac:dyDescent="0.3">
      <c r="A22">
        <v>20</v>
      </c>
      <c r="B22">
        <v>1</v>
      </c>
      <c r="C22" s="32" t="s">
        <v>81</v>
      </c>
      <c r="D22" s="32" t="s">
        <v>30</v>
      </c>
      <c r="E22" s="32"/>
      <c r="F22" t="s">
        <v>84</v>
      </c>
      <c r="G22" s="32" t="s">
        <v>83</v>
      </c>
      <c r="H22" s="32" t="s">
        <v>28</v>
      </c>
      <c r="I22" s="4">
        <v>21</v>
      </c>
      <c r="J22" s="4">
        <v>1</v>
      </c>
      <c r="K22" s="4">
        <v>20</v>
      </c>
      <c r="L22" s="33">
        <v>2</v>
      </c>
      <c r="O22" s="4">
        <v>0</v>
      </c>
      <c r="P22" s="33">
        <v>1</v>
      </c>
      <c r="Q22" s="4">
        <v>23.9</v>
      </c>
      <c r="R22" s="4">
        <v>1</v>
      </c>
      <c r="S22" s="4">
        <v>22.9</v>
      </c>
      <c r="T22" s="33">
        <v>2</v>
      </c>
      <c r="W22" s="4">
        <v>0</v>
      </c>
      <c r="X22" s="33">
        <v>1</v>
      </c>
      <c r="AA22" s="4">
        <v>0</v>
      </c>
      <c r="AB22" s="33">
        <v>1</v>
      </c>
      <c r="AC22">
        <v>42.9</v>
      </c>
      <c r="AF22" s="4">
        <v>42.9</v>
      </c>
      <c r="AG22" s="4">
        <v>22.45</v>
      </c>
      <c r="AH22" s="4">
        <v>42.9</v>
      </c>
      <c r="AI22" s="33">
        <v>2</v>
      </c>
      <c r="AJ22" t="s">
        <v>33</v>
      </c>
      <c r="AK22" t="s">
        <v>144</v>
      </c>
      <c r="AL22" t="s">
        <v>203</v>
      </c>
      <c r="BS22" s="4"/>
      <c r="BT22"/>
    </row>
    <row r="23" spans="1:72" x14ac:dyDescent="0.3">
      <c r="A23">
        <v>41</v>
      </c>
      <c r="B23">
        <v>2</v>
      </c>
      <c r="C23" s="32" t="s">
        <v>81</v>
      </c>
      <c r="D23" s="32" t="s">
        <v>23</v>
      </c>
      <c r="E23" s="32"/>
      <c r="F23" t="s">
        <v>87</v>
      </c>
      <c r="G23" s="32" t="s">
        <v>24</v>
      </c>
      <c r="H23" s="32" t="s">
        <v>25</v>
      </c>
      <c r="K23" s="4">
        <v>0</v>
      </c>
      <c r="L23" s="33">
        <v>1</v>
      </c>
      <c r="M23" s="4">
        <v>23.8</v>
      </c>
      <c r="N23" s="4">
        <v>1</v>
      </c>
      <c r="O23" s="4">
        <v>22.8</v>
      </c>
      <c r="P23" s="33">
        <v>1</v>
      </c>
      <c r="S23" s="4">
        <v>0</v>
      </c>
      <c r="T23" s="33">
        <v>1</v>
      </c>
      <c r="U23" s="4">
        <v>19.7</v>
      </c>
      <c r="V23" s="4">
        <v>1</v>
      </c>
      <c r="W23" s="4">
        <v>18.7</v>
      </c>
      <c r="X23" s="33">
        <v>1</v>
      </c>
      <c r="Y23" s="4">
        <v>20.2</v>
      </c>
      <c r="Z23" s="4">
        <v>1</v>
      </c>
      <c r="AA23" s="4">
        <v>19.2</v>
      </c>
      <c r="AB23" s="33">
        <v>1</v>
      </c>
      <c r="AC23">
        <v>60.7</v>
      </c>
      <c r="AF23" s="4">
        <v>60.7</v>
      </c>
      <c r="AG23" s="4">
        <v>21.233333333333334</v>
      </c>
      <c r="AH23" s="4">
        <v>60.7</v>
      </c>
      <c r="AI23" s="33">
        <v>1</v>
      </c>
      <c r="AJ23" t="s">
        <v>33</v>
      </c>
      <c r="AK23" t="s">
        <v>145</v>
      </c>
      <c r="AL23" t="s">
        <v>204</v>
      </c>
      <c r="BS23" s="4"/>
      <c r="BT23"/>
    </row>
    <row r="24" spans="1:72" x14ac:dyDescent="0.3">
      <c r="A24">
        <v>39</v>
      </c>
      <c r="B24">
        <v>2</v>
      </c>
      <c r="C24" s="32" t="s">
        <v>81</v>
      </c>
      <c r="D24" s="32" t="s">
        <v>23</v>
      </c>
      <c r="E24" s="32"/>
      <c r="F24" t="s">
        <v>86</v>
      </c>
      <c r="G24" s="32" t="s">
        <v>24</v>
      </c>
      <c r="H24" s="32" t="s">
        <v>25</v>
      </c>
      <c r="K24" s="4">
        <v>0</v>
      </c>
      <c r="L24" s="33">
        <v>1</v>
      </c>
      <c r="M24" s="4">
        <v>22.1</v>
      </c>
      <c r="N24" s="4">
        <v>0.5</v>
      </c>
      <c r="O24" s="4">
        <v>21.6</v>
      </c>
      <c r="P24" s="33">
        <v>2</v>
      </c>
      <c r="S24" s="4">
        <v>0</v>
      </c>
      <c r="T24" s="33">
        <v>1</v>
      </c>
      <c r="U24" s="4">
        <v>18.5</v>
      </c>
      <c r="V24" s="4">
        <v>0.5</v>
      </c>
      <c r="W24" s="4">
        <v>18</v>
      </c>
      <c r="X24" s="33">
        <v>2</v>
      </c>
      <c r="Y24" s="4">
        <v>18.5</v>
      </c>
      <c r="Z24" s="4">
        <v>0.5</v>
      </c>
      <c r="AA24" s="4">
        <v>18</v>
      </c>
      <c r="AB24" s="33">
        <v>2</v>
      </c>
      <c r="AC24">
        <v>57.6</v>
      </c>
      <c r="AF24" s="4">
        <v>57.6</v>
      </c>
      <c r="AG24" s="4">
        <v>19.7</v>
      </c>
      <c r="AH24" s="4">
        <v>57.6</v>
      </c>
      <c r="AI24" s="33">
        <v>2</v>
      </c>
      <c r="AJ24" t="s">
        <v>33</v>
      </c>
      <c r="AK24" t="s">
        <v>145</v>
      </c>
      <c r="AL24" t="s">
        <v>205</v>
      </c>
      <c r="BS24" s="4"/>
      <c r="BT24"/>
    </row>
    <row r="25" spans="1:72" x14ac:dyDescent="0.3">
      <c r="A25">
        <v>37</v>
      </c>
      <c r="B25">
        <v>2</v>
      </c>
      <c r="C25" s="32" t="s">
        <v>81</v>
      </c>
      <c r="D25" s="32" t="s">
        <v>23</v>
      </c>
      <c r="E25" s="32"/>
      <c r="F25" t="s">
        <v>85</v>
      </c>
      <c r="G25" s="32" t="s">
        <v>83</v>
      </c>
      <c r="H25" s="32" t="s">
        <v>28</v>
      </c>
      <c r="K25" s="4">
        <v>0</v>
      </c>
      <c r="L25" s="33">
        <v>1</v>
      </c>
      <c r="M25" s="4">
        <v>21.8</v>
      </c>
      <c r="N25" s="4">
        <v>2</v>
      </c>
      <c r="O25" s="4">
        <v>19.8</v>
      </c>
      <c r="P25" s="33">
        <v>3</v>
      </c>
      <c r="S25" s="4">
        <v>0</v>
      </c>
      <c r="T25" s="33">
        <v>1</v>
      </c>
      <c r="U25" s="4">
        <v>19.600000000000001</v>
      </c>
      <c r="V25" s="4">
        <v>2</v>
      </c>
      <c r="W25" s="4">
        <v>17.600000000000001</v>
      </c>
      <c r="X25" s="33">
        <v>3</v>
      </c>
      <c r="Y25" s="4">
        <v>18.5</v>
      </c>
      <c r="Z25" s="4">
        <v>2</v>
      </c>
      <c r="AA25" s="4">
        <v>16.5</v>
      </c>
      <c r="AB25" s="33">
        <v>3</v>
      </c>
      <c r="AC25">
        <v>53.900000000000006</v>
      </c>
      <c r="AF25" s="4">
        <v>53.900000000000006</v>
      </c>
      <c r="AG25" s="4">
        <v>19.966666666666669</v>
      </c>
      <c r="AH25" s="4">
        <v>53.900000000000006</v>
      </c>
      <c r="AI25" s="33">
        <v>3</v>
      </c>
      <c r="AJ25" t="s">
        <v>33</v>
      </c>
      <c r="AK25" t="s">
        <v>145</v>
      </c>
      <c r="AL25" t="s">
        <v>206</v>
      </c>
      <c r="BS25" s="4"/>
      <c r="BT25"/>
    </row>
    <row r="26" spans="1:72" x14ac:dyDescent="0.3">
      <c r="A26">
        <v>45</v>
      </c>
      <c r="B26">
        <v>2</v>
      </c>
      <c r="C26" s="32" t="s">
        <v>81</v>
      </c>
      <c r="D26" s="32" t="s">
        <v>23</v>
      </c>
      <c r="E26" s="32"/>
      <c r="F26" t="s">
        <v>89</v>
      </c>
      <c r="G26" s="32" t="s">
        <v>83</v>
      </c>
      <c r="H26" s="32" t="s">
        <v>28</v>
      </c>
      <c r="K26" s="4">
        <v>0</v>
      </c>
      <c r="L26" s="33">
        <v>1</v>
      </c>
      <c r="M26" s="4">
        <v>14.7</v>
      </c>
      <c r="N26" s="4">
        <v>1</v>
      </c>
      <c r="O26" s="4">
        <v>13.7</v>
      </c>
      <c r="P26" s="33">
        <v>4</v>
      </c>
      <c r="S26" s="4">
        <v>0</v>
      </c>
      <c r="T26" s="33">
        <v>1</v>
      </c>
      <c r="U26" s="4">
        <v>18.3</v>
      </c>
      <c r="V26" s="4">
        <v>1</v>
      </c>
      <c r="W26" s="4">
        <v>17.3</v>
      </c>
      <c r="X26" s="33">
        <v>4</v>
      </c>
      <c r="Y26" s="4">
        <v>15.7</v>
      </c>
      <c r="Z26" s="4">
        <v>1</v>
      </c>
      <c r="AA26" s="4">
        <v>14.7</v>
      </c>
      <c r="AB26" s="33">
        <v>4</v>
      </c>
      <c r="AC26">
        <v>45.7</v>
      </c>
      <c r="AF26" s="4">
        <v>45.7</v>
      </c>
      <c r="AG26" s="4">
        <v>16.233333333333334</v>
      </c>
      <c r="AH26" s="4">
        <v>45.7</v>
      </c>
      <c r="AI26" s="33">
        <v>4</v>
      </c>
      <c r="AJ26" t="s">
        <v>33</v>
      </c>
      <c r="AK26" t="s">
        <v>145</v>
      </c>
      <c r="AL26" t="s">
        <v>207</v>
      </c>
      <c r="BS26" s="4"/>
      <c r="BT26"/>
    </row>
    <row r="27" spans="1:72" x14ac:dyDescent="0.3">
      <c r="A27">
        <v>43</v>
      </c>
      <c r="B27">
        <v>2</v>
      </c>
      <c r="C27" s="32" t="s">
        <v>81</v>
      </c>
      <c r="D27" s="32" t="s">
        <v>23</v>
      </c>
      <c r="E27" s="32"/>
      <c r="F27" t="s">
        <v>88</v>
      </c>
      <c r="G27" s="32" t="s">
        <v>83</v>
      </c>
      <c r="H27" s="32" t="s">
        <v>28</v>
      </c>
      <c r="K27" s="4">
        <v>0</v>
      </c>
      <c r="L27" s="33">
        <v>1</v>
      </c>
      <c r="M27" s="4">
        <v>11.9</v>
      </c>
      <c r="N27" s="4">
        <v>0.5</v>
      </c>
      <c r="O27" s="4">
        <v>11.4</v>
      </c>
      <c r="P27" s="33">
        <v>5</v>
      </c>
      <c r="S27" s="4">
        <v>0</v>
      </c>
      <c r="T27" s="33">
        <v>1</v>
      </c>
      <c r="U27" s="4">
        <v>14.6</v>
      </c>
      <c r="V27" s="4">
        <v>0.5</v>
      </c>
      <c r="W27" s="4">
        <v>14.1</v>
      </c>
      <c r="X27" s="33">
        <v>5</v>
      </c>
      <c r="Y27" s="4">
        <v>11.3</v>
      </c>
      <c r="Z27" s="4">
        <v>0.5</v>
      </c>
      <c r="AA27" s="4">
        <v>10.8</v>
      </c>
      <c r="AB27" s="33">
        <v>5</v>
      </c>
      <c r="AC27">
        <v>36.299999999999997</v>
      </c>
      <c r="AF27" s="4">
        <v>36.299999999999997</v>
      </c>
      <c r="AG27" s="4">
        <v>12.6</v>
      </c>
      <c r="AH27" s="4">
        <v>36.299999999999997</v>
      </c>
      <c r="AI27" s="33">
        <v>5</v>
      </c>
      <c r="AJ27" t="s">
        <v>33</v>
      </c>
      <c r="AK27" t="s">
        <v>145</v>
      </c>
      <c r="AL27" t="s">
        <v>208</v>
      </c>
      <c r="BS27" s="4"/>
      <c r="BT27"/>
    </row>
    <row r="28" spans="1:72" x14ac:dyDescent="0.3">
      <c r="A28">
        <v>22</v>
      </c>
      <c r="B28">
        <v>1</v>
      </c>
      <c r="C28" s="32" t="s">
        <v>81</v>
      </c>
      <c r="D28" s="32" t="s">
        <v>27</v>
      </c>
      <c r="E28" s="32"/>
      <c r="F28" t="s">
        <v>90</v>
      </c>
      <c r="G28" s="32" t="s">
        <v>91</v>
      </c>
      <c r="H28" s="32" t="s">
        <v>28</v>
      </c>
      <c r="I28" s="4">
        <v>36.299999999999997</v>
      </c>
      <c r="J28" s="4">
        <v>0</v>
      </c>
      <c r="K28" s="4">
        <v>36.299999999999997</v>
      </c>
      <c r="L28" s="33">
        <v>1</v>
      </c>
      <c r="O28" s="4">
        <v>0</v>
      </c>
      <c r="P28" s="33">
        <v>1</v>
      </c>
      <c r="Q28" s="4">
        <v>38.1</v>
      </c>
      <c r="R28" s="4">
        <v>0</v>
      </c>
      <c r="S28" s="4">
        <v>38.1</v>
      </c>
      <c r="T28" s="33">
        <v>1</v>
      </c>
      <c r="W28" s="4">
        <v>0</v>
      </c>
      <c r="X28" s="33">
        <v>1</v>
      </c>
      <c r="AA28" s="4">
        <v>0</v>
      </c>
      <c r="AB28" s="33">
        <v>1</v>
      </c>
      <c r="AC28">
        <v>74.400000000000006</v>
      </c>
      <c r="AF28" s="4">
        <v>74.400000000000006</v>
      </c>
      <c r="AG28" s="4">
        <v>37.200000000000003</v>
      </c>
      <c r="AH28" s="4">
        <v>74.400000000000006</v>
      </c>
      <c r="AI28" s="33">
        <v>1</v>
      </c>
      <c r="AJ28" t="s">
        <v>33</v>
      </c>
      <c r="AK28" t="s">
        <v>146</v>
      </c>
      <c r="AL28" t="s">
        <v>209</v>
      </c>
      <c r="BS28" s="4"/>
      <c r="BT28"/>
    </row>
    <row r="29" spans="1:72" x14ac:dyDescent="0.3">
      <c r="A29">
        <v>24</v>
      </c>
      <c r="B29">
        <v>1</v>
      </c>
      <c r="C29" s="32" t="s">
        <v>81</v>
      </c>
      <c r="D29" s="32" t="s">
        <v>27</v>
      </c>
      <c r="E29" s="32"/>
      <c r="F29" t="s">
        <v>92</v>
      </c>
      <c r="G29" s="32" t="s">
        <v>93</v>
      </c>
      <c r="H29" s="32" t="s">
        <v>25</v>
      </c>
      <c r="I29" s="4">
        <v>32.799999999999997</v>
      </c>
      <c r="J29" s="4">
        <v>1</v>
      </c>
      <c r="K29" s="4">
        <v>31.799999999999997</v>
      </c>
      <c r="L29" s="33">
        <v>2</v>
      </c>
      <c r="O29" s="4">
        <v>0</v>
      </c>
      <c r="P29" s="33">
        <v>1</v>
      </c>
      <c r="Q29" s="4">
        <v>37.6</v>
      </c>
      <c r="R29" s="4">
        <v>1</v>
      </c>
      <c r="S29" s="4">
        <v>36.6</v>
      </c>
      <c r="T29" s="33">
        <v>2</v>
      </c>
      <c r="W29" s="4">
        <v>0</v>
      </c>
      <c r="X29" s="33">
        <v>1</v>
      </c>
      <c r="AA29" s="4">
        <v>0</v>
      </c>
      <c r="AB29" s="33">
        <v>1</v>
      </c>
      <c r="AC29">
        <v>68.400000000000006</v>
      </c>
      <c r="AF29" s="4">
        <v>68.400000000000006</v>
      </c>
      <c r="AG29" s="4">
        <v>35.200000000000003</v>
      </c>
      <c r="AH29" s="4">
        <v>68.400000000000006</v>
      </c>
      <c r="AI29" s="33">
        <v>2</v>
      </c>
      <c r="AJ29" t="s">
        <v>33</v>
      </c>
      <c r="AK29" t="s">
        <v>146</v>
      </c>
      <c r="AL29" t="s">
        <v>210</v>
      </c>
      <c r="BS29" s="4"/>
      <c r="BT29"/>
    </row>
    <row r="30" spans="1:72" x14ac:dyDescent="0.3">
      <c r="A30">
        <v>26</v>
      </c>
      <c r="B30">
        <v>1</v>
      </c>
      <c r="C30" s="32" t="s">
        <v>81</v>
      </c>
      <c r="D30" s="32" t="s">
        <v>27</v>
      </c>
      <c r="E30" s="32"/>
      <c r="F30" t="s">
        <v>49</v>
      </c>
      <c r="G30" s="32" t="s">
        <v>24</v>
      </c>
      <c r="H30" s="32" t="s">
        <v>25</v>
      </c>
      <c r="I30" s="4">
        <v>22</v>
      </c>
      <c r="J30" s="4">
        <v>0.5</v>
      </c>
      <c r="K30" s="4">
        <v>21.5</v>
      </c>
      <c r="L30" s="33">
        <v>3</v>
      </c>
      <c r="O30" s="4">
        <v>0</v>
      </c>
      <c r="P30" s="33">
        <v>1</v>
      </c>
      <c r="Q30" s="4">
        <v>25</v>
      </c>
      <c r="R30" s="4">
        <v>0.5</v>
      </c>
      <c r="S30" s="4">
        <v>24.5</v>
      </c>
      <c r="T30" s="33">
        <v>3</v>
      </c>
      <c r="W30" s="4">
        <v>0</v>
      </c>
      <c r="X30" s="33">
        <v>1</v>
      </c>
      <c r="AA30" s="4">
        <v>0</v>
      </c>
      <c r="AB30" s="33">
        <v>1</v>
      </c>
      <c r="AC30">
        <v>46</v>
      </c>
      <c r="AF30" s="4">
        <v>46</v>
      </c>
      <c r="AG30" s="4">
        <v>23.5</v>
      </c>
      <c r="AH30" s="4">
        <v>46</v>
      </c>
      <c r="AI30" s="33">
        <v>3</v>
      </c>
      <c r="AJ30" t="s">
        <v>33</v>
      </c>
      <c r="AK30" t="s">
        <v>146</v>
      </c>
      <c r="AL30" t="s">
        <v>211</v>
      </c>
      <c r="BS30" s="4"/>
      <c r="BT30"/>
    </row>
    <row r="31" spans="1:72" x14ac:dyDescent="0.3">
      <c r="A31">
        <v>48</v>
      </c>
      <c r="B31">
        <v>1</v>
      </c>
      <c r="C31" s="32" t="s">
        <v>111</v>
      </c>
      <c r="D31" s="32" t="s">
        <v>30</v>
      </c>
      <c r="E31" s="32"/>
      <c r="F31" t="s">
        <v>112</v>
      </c>
      <c r="G31" s="32" t="s">
        <v>67</v>
      </c>
      <c r="H31" s="32" t="s">
        <v>25</v>
      </c>
      <c r="I31" s="4">
        <v>14.1</v>
      </c>
      <c r="J31" s="4">
        <v>0.5</v>
      </c>
      <c r="K31" s="4">
        <v>13.6</v>
      </c>
      <c r="L31" s="33">
        <v>1</v>
      </c>
      <c r="O31" s="4">
        <v>0</v>
      </c>
      <c r="P31" s="33">
        <v>1</v>
      </c>
      <c r="Q31" s="4">
        <v>10.6</v>
      </c>
      <c r="R31" s="4">
        <v>0</v>
      </c>
      <c r="S31" s="4">
        <v>10.6</v>
      </c>
      <c r="T31" s="33">
        <v>1</v>
      </c>
      <c r="W31" s="4">
        <v>0</v>
      </c>
      <c r="X31" s="33">
        <v>1</v>
      </c>
      <c r="AA31" s="4">
        <v>0</v>
      </c>
      <c r="AB31" s="33">
        <v>1</v>
      </c>
      <c r="AC31">
        <v>24.2</v>
      </c>
      <c r="AF31" s="4">
        <v>24.2</v>
      </c>
      <c r="AG31" s="4">
        <v>12.35</v>
      </c>
      <c r="AH31" s="4">
        <v>24.2</v>
      </c>
      <c r="AI31" s="33">
        <v>1</v>
      </c>
      <c r="AJ31" t="s">
        <v>33</v>
      </c>
      <c r="AK31" t="s">
        <v>147</v>
      </c>
      <c r="AL31" t="s">
        <v>212</v>
      </c>
      <c r="BS31" s="4"/>
      <c r="BT31"/>
    </row>
    <row r="32" spans="1:72" x14ac:dyDescent="0.3">
      <c r="A32">
        <v>47</v>
      </c>
      <c r="B32">
        <v>2</v>
      </c>
      <c r="C32" s="32" t="s">
        <v>111</v>
      </c>
      <c r="D32" s="32" t="s">
        <v>23</v>
      </c>
      <c r="E32" s="32"/>
      <c r="F32" t="s">
        <v>113</v>
      </c>
      <c r="G32" s="32" t="s">
        <v>67</v>
      </c>
      <c r="H32" s="32" t="s">
        <v>25</v>
      </c>
      <c r="K32" s="4">
        <v>0</v>
      </c>
      <c r="L32" s="33">
        <v>1</v>
      </c>
      <c r="M32" s="4">
        <v>17.3</v>
      </c>
      <c r="N32" s="4">
        <v>1</v>
      </c>
      <c r="O32" s="4">
        <v>16.3</v>
      </c>
      <c r="P32" s="33">
        <v>1</v>
      </c>
      <c r="S32" s="4">
        <v>0</v>
      </c>
      <c r="T32" s="33">
        <v>1</v>
      </c>
      <c r="U32" s="4">
        <v>14.5</v>
      </c>
      <c r="V32" s="4">
        <v>1</v>
      </c>
      <c r="W32" s="4">
        <v>13.5</v>
      </c>
      <c r="X32" s="33">
        <v>1</v>
      </c>
      <c r="Y32" s="4">
        <v>13.1</v>
      </c>
      <c r="Z32" s="4">
        <v>1</v>
      </c>
      <c r="AA32" s="4">
        <v>12.1</v>
      </c>
      <c r="AB32" s="33">
        <v>1</v>
      </c>
      <c r="AC32">
        <v>41.9</v>
      </c>
      <c r="AF32" s="4">
        <v>41.9</v>
      </c>
      <c r="AG32" s="4">
        <v>14.966666666666667</v>
      </c>
      <c r="AH32" s="4">
        <v>41.9</v>
      </c>
      <c r="AI32" s="33">
        <v>1</v>
      </c>
      <c r="AJ32" t="s">
        <v>33</v>
      </c>
      <c r="AK32" t="s">
        <v>148</v>
      </c>
      <c r="AL32" t="s">
        <v>213</v>
      </c>
      <c r="BS32" s="4"/>
      <c r="BT32"/>
    </row>
    <row r="33" spans="1:72" x14ac:dyDescent="0.3">
      <c r="A33">
        <v>50</v>
      </c>
      <c r="B33">
        <v>1</v>
      </c>
      <c r="C33" s="32" t="s">
        <v>111</v>
      </c>
      <c r="D33" s="32" t="s">
        <v>27</v>
      </c>
      <c r="E33" s="32"/>
      <c r="F33" t="s">
        <v>69</v>
      </c>
      <c r="G33" s="32" t="s">
        <v>67</v>
      </c>
      <c r="H33" s="32" t="s">
        <v>25</v>
      </c>
      <c r="I33" s="4">
        <v>42.2</v>
      </c>
      <c r="J33" s="4">
        <v>0.5</v>
      </c>
      <c r="K33" s="4">
        <v>41.7</v>
      </c>
      <c r="L33" s="33">
        <v>1</v>
      </c>
      <c r="O33" s="4">
        <v>0</v>
      </c>
      <c r="P33" s="33">
        <v>1</v>
      </c>
      <c r="Q33" s="4">
        <v>44.8</v>
      </c>
      <c r="R33" s="4">
        <v>0.5</v>
      </c>
      <c r="S33" s="4">
        <v>44.3</v>
      </c>
      <c r="T33" s="33">
        <v>1</v>
      </c>
      <c r="W33" s="4">
        <v>0</v>
      </c>
      <c r="X33" s="33">
        <v>1</v>
      </c>
      <c r="AA33" s="4">
        <v>0</v>
      </c>
      <c r="AB33" s="33">
        <v>1</v>
      </c>
      <c r="AC33">
        <v>86</v>
      </c>
      <c r="AF33" s="4">
        <v>86</v>
      </c>
      <c r="AG33" s="4">
        <v>43.5</v>
      </c>
      <c r="AH33" s="4">
        <v>86</v>
      </c>
      <c r="AI33" s="33">
        <v>1</v>
      </c>
      <c r="AJ33" t="s">
        <v>33</v>
      </c>
      <c r="AK33" t="s">
        <v>149</v>
      </c>
      <c r="AL33" t="s">
        <v>214</v>
      </c>
      <c r="BS33" s="4"/>
      <c r="BT33"/>
    </row>
    <row r="34" spans="1:72" x14ac:dyDescent="0.3">
      <c r="A34">
        <v>49</v>
      </c>
      <c r="B34">
        <v>2</v>
      </c>
      <c r="C34" s="32" t="s">
        <v>111</v>
      </c>
      <c r="D34" s="32" t="s">
        <v>29</v>
      </c>
      <c r="E34" s="32"/>
      <c r="F34" t="s">
        <v>114</v>
      </c>
      <c r="G34" s="32" t="s">
        <v>55</v>
      </c>
      <c r="H34" s="32" t="s">
        <v>25</v>
      </c>
      <c r="K34" s="4">
        <v>0</v>
      </c>
      <c r="L34" s="33">
        <v>1</v>
      </c>
      <c r="M34" s="4">
        <v>25</v>
      </c>
      <c r="N34" s="4">
        <v>0.5</v>
      </c>
      <c r="O34" s="4">
        <v>24.5</v>
      </c>
      <c r="P34" s="33">
        <v>1</v>
      </c>
      <c r="S34" s="4">
        <v>0</v>
      </c>
      <c r="T34" s="33">
        <v>1</v>
      </c>
      <c r="U34" s="4">
        <v>23.7</v>
      </c>
      <c r="V34" s="4">
        <v>0.5</v>
      </c>
      <c r="W34" s="4">
        <v>23.2</v>
      </c>
      <c r="X34" s="33">
        <v>1</v>
      </c>
      <c r="Y34" s="4">
        <v>22.6</v>
      </c>
      <c r="Z34" s="4">
        <v>0.5</v>
      </c>
      <c r="AA34" s="4">
        <v>22.1</v>
      </c>
      <c r="AB34" s="33">
        <v>1</v>
      </c>
      <c r="AC34">
        <v>69.800000000000011</v>
      </c>
      <c r="AF34" s="4">
        <v>69.800000000000011</v>
      </c>
      <c r="AG34" s="4">
        <v>23.766666666666669</v>
      </c>
      <c r="AH34" s="4">
        <v>69.800000000000011</v>
      </c>
      <c r="AI34" s="33">
        <v>1</v>
      </c>
      <c r="AJ34" t="s">
        <v>33</v>
      </c>
      <c r="AK34" t="s">
        <v>150</v>
      </c>
      <c r="AL34" t="s">
        <v>215</v>
      </c>
      <c r="BS34" s="4"/>
      <c r="BT34"/>
    </row>
    <row r="35" spans="1:72" x14ac:dyDescent="0.3">
      <c r="A35">
        <v>86</v>
      </c>
      <c r="B35">
        <v>1</v>
      </c>
      <c r="C35" s="32" t="s">
        <v>79</v>
      </c>
      <c r="D35" s="32" t="s">
        <v>30</v>
      </c>
      <c r="E35" s="32"/>
      <c r="F35" t="s">
        <v>76</v>
      </c>
      <c r="G35" s="32" t="s">
        <v>55</v>
      </c>
      <c r="H35" s="32" t="s">
        <v>25</v>
      </c>
      <c r="I35" s="4">
        <v>13.3</v>
      </c>
      <c r="J35" s="4">
        <v>0.5</v>
      </c>
      <c r="K35" s="4">
        <v>12.8</v>
      </c>
      <c r="L35" s="33">
        <v>1</v>
      </c>
      <c r="M35" s="4">
        <v>13.8</v>
      </c>
      <c r="N35" s="4">
        <v>0.5</v>
      </c>
      <c r="O35" s="4">
        <v>13.3</v>
      </c>
      <c r="P35" s="33">
        <v>1</v>
      </c>
      <c r="S35" s="4">
        <v>0</v>
      </c>
      <c r="T35" s="33">
        <v>1</v>
      </c>
      <c r="W35" s="4">
        <v>0</v>
      </c>
      <c r="X35" s="33">
        <v>1</v>
      </c>
      <c r="AA35" s="4">
        <v>0</v>
      </c>
      <c r="AB35" s="33">
        <v>1</v>
      </c>
      <c r="AC35">
        <v>26.1</v>
      </c>
      <c r="AF35" s="4">
        <v>26.1</v>
      </c>
      <c r="AG35" s="4">
        <v>13.55</v>
      </c>
      <c r="AH35" s="4">
        <v>26.1</v>
      </c>
      <c r="AI35" s="33">
        <v>1</v>
      </c>
      <c r="AJ35" t="s">
        <v>118</v>
      </c>
      <c r="AK35" t="s">
        <v>151</v>
      </c>
      <c r="AL35" t="s">
        <v>216</v>
      </c>
      <c r="BS35" s="4"/>
      <c r="BT35"/>
    </row>
    <row r="36" spans="1:72" x14ac:dyDescent="0.3">
      <c r="A36">
        <v>90</v>
      </c>
      <c r="B36">
        <v>1</v>
      </c>
      <c r="C36" s="32" t="s">
        <v>79</v>
      </c>
      <c r="D36" s="32" t="s">
        <v>30</v>
      </c>
      <c r="E36" s="32"/>
      <c r="F36" t="s">
        <v>78</v>
      </c>
      <c r="G36" s="32" t="s">
        <v>24</v>
      </c>
      <c r="H36" s="32" t="s">
        <v>25</v>
      </c>
      <c r="I36" s="4">
        <v>12.6</v>
      </c>
      <c r="J36" s="4">
        <v>1</v>
      </c>
      <c r="K36" s="4">
        <v>11.6</v>
      </c>
      <c r="L36" s="33">
        <v>2</v>
      </c>
      <c r="M36" s="4">
        <v>12.8</v>
      </c>
      <c r="N36" s="4">
        <v>1</v>
      </c>
      <c r="O36" s="4">
        <v>11.8</v>
      </c>
      <c r="P36" s="33">
        <v>3</v>
      </c>
      <c r="S36" s="4">
        <v>0</v>
      </c>
      <c r="T36" s="33">
        <v>1</v>
      </c>
      <c r="W36" s="4">
        <v>0</v>
      </c>
      <c r="X36" s="33">
        <v>1</v>
      </c>
      <c r="AA36" s="4">
        <v>0</v>
      </c>
      <c r="AB36" s="33">
        <v>1</v>
      </c>
      <c r="AC36">
        <v>23.4</v>
      </c>
      <c r="AF36" s="4">
        <v>23.4</v>
      </c>
      <c r="AG36" s="4">
        <v>12.7</v>
      </c>
      <c r="AH36" s="4">
        <v>23.4</v>
      </c>
      <c r="AI36" s="33">
        <v>2</v>
      </c>
      <c r="AJ36" t="s">
        <v>118</v>
      </c>
      <c r="AK36" t="s">
        <v>151</v>
      </c>
      <c r="AL36" t="s">
        <v>217</v>
      </c>
      <c r="BS36" s="4"/>
      <c r="BT36"/>
    </row>
    <row r="37" spans="1:72" x14ac:dyDescent="0.3">
      <c r="A37">
        <v>88</v>
      </c>
      <c r="B37">
        <v>1</v>
      </c>
      <c r="C37" s="32" t="s">
        <v>79</v>
      </c>
      <c r="D37" s="32" t="s">
        <v>30</v>
      </c>
      <c r="E37" s="32"/>
      <c r="F37" t="s">
        <v>77</v>
      </c>
      <c r="G37" s="32" t="s">
        <v>24</v>
      </c>
      <c r="H37" s="32" t="s">
        <v>25</v>
      </c>
      <c r="I37" s="4">
        <v>12.3</v>
      </c>
      <c r="J37" s="4">
        <v>2</v>
      </c>
      <c r="K37" s="4">
        <v>10.3</v>
      </c>
      <c r="L37" s="33">
        <v>3</v>
      </c>
      <c r="M37" s="4">
        <v>14</v>
      </c>
      <c r="N37" s="4">
        <v>2</v>
      </c>
      <c r="O37" s="4">
        <v>12</v>
      </c>
      <c r="P37" s="33">
        <v>2</v>
      </c>
      <c r="S37" s="4">
        <v>0</v>
      </c>
      <c r="T37" s="33">
        <v>1</v>
      </c>
      <c r="W37" s="4">
        <v>0</v>
      </c>
      <c r="X37" s="33">
        <v>1</v>
      </c>
      <c r="AA37" s="4">
        <v>0</v>
      </c>
      <c r="AB37" s="33">
        <v>1</v>
      </c>
      <c r="AC37">
        <v>22.3</v>
      </c>
      <c r="AF37" s="4">
        <v>22.3</v>
      </c>
      <c r="AG37" s="4">
        <v>13.15</v>
      </c>
      <c r="AH37" s="4">
        <v>22.3</v>
      </c>
      <c r="AI37" s="33">
        <v>3</v>
      </c>
      <c r="AJ37" t="s">
        <v>118</v>
      </c>
      <c r="AK37" t="s">
        <v>151</v>
      </c>
      <c r="AL37" t="s">
        <v>218</v>
      </c>
      <c r="BS37" s="4"/>
      <c r="BT37"/>
    </row>
    <row r="38" spans="1:72" x14ac:dyDescent="0.3">
      <c r="A38">
        <v>89</v>
      </c>
      <c r="C38" s="32" t="s">
        <v>79</v>
      </c>
      <c r="D38" s="32" t="s">
        <v>27</v>
      </c>
      <c r="E38" s="32"/>
      <c r="F38" t="s">
        <v>140</v>
      </c>
      <c r="G38" s="32" t="s">
        <v>55</v>
      </c>
      <c r="H38" s="32" t="s">
        <v>25</v>
      </c>
      <c r="K38" s="4">
        <v>0</v>
      </c>
      <c r="L38" s="33">
        <v>1</v>
      </c>
      <c r="O38" s="4">
        <v>0</v>
      </c>
      <c r="P38" s="33">
        <v>1</v>
      </c>
      <c r="Q38" s="4">
        <v>19.899999999999999</v>
      </c>
      <c r="R38" s="4">
        <v>2.5</v>
      </c>
      <c r="S38" s="4">
        <v>17.399999999999999</v>
      </c>
      <c r="T38" s="33">
        <v>1</v>
      </c>
      <c r="U38" s="4">
        <v>19.100000000000001</v>
      </c>
      <c r="V38" s="4">
        <v>2.5</v>
      </c>
      <c r="W38" s="4">
        <v>16.600000000000001</v>
      </c>
      <c r="X38" s="33">
        <v>1</v>
      </c>
      <c r="Y38" s="4">
        <v>15.1</v>
      </c>
      <c r="Z38" s="4">
        <v>2.5</v>
      </c>
      <c r="AA38" s="4">
        <v>12.6</v>
      </c>
      <c r="AB38" s="33">
        <v>2</v>
      </c>
      <c r="AC38">
        <v>46.6</v>
      </c>
      <c r="AF38" s="4">
        <v>46.6</v>
      </c>
      <c r="AG38" s="4">
        <v>18.033333333333335</v>
      </c>
      <c r="AH38" s="4">
        <v>46.6</v>
      </c>
      <c r="AI38" s="33">
        <v>1</v>
      </c>
      <c r="AJ38" t="s">
        <v>118</v>
      </c>
      <c r="AK38" t="s">
        <v>152</v>
      </c>
      <c r="AL38" t="s">
        <v>219</v>
      </c>
      <c r="BS38" s="4"/>
      <c r="BT38"/>
    </row>
    <row r="39" spans="1:72" x14ac:dyDescent="0.3">
      <c r="A39">
        <v>87</v>
      </c>
      <c r="C39" s="32" t="s">
        <v>79</v>
      </c>
      <c r="D39" s="32" t="s">
        <v>27</v>
      </c>
      <c r="E39" s="32"/>
      <c r="F39" t="s">
        <v>141</v>
      </c>
      <c r="G39" s="32" t="s">
        <v>73</v>
      </c>
      <c r="H39" s="32" t="s">
        <v>25</v>
      </c>
      <c r="K39" s="4">
        <v>0</v>
      </c>
      <c r="L39" s="33">
        <v>1</v>
      </c>
      <c r="O39" s="4">
        <v>0</v>
      </c>
      <c r="P39" s="33">
        <v>1</v>
      </c>
      <c r="Q39" s="4">
        <v>16.399999999999999</v>
      </c>
      <c r="R39" s="4">
        <v>1.5</v>
      </c>
      <c r="S39" s="4">
        <v>14.899999999999999</v>
      </c>
      <c r="T39" s="33">
        <v>2</v>
      </c>
      <c r="U39" s="4">
        <v>15.4</v>
      </c>
      <c r="V39" s="4">
        <v>1.5</v>
      </c>
      <c r="W39" s="4">
        <v>13.9</v>
      </c>
      <c r="X39" s="33">
        <v>2</v>
      </c>
      <c r="Y39" s="4">
        <v>15.1</v>
      </c>
      <c r="Z39" s="4">
        <v>1.5</v>
      </c>
      <c r="AA39" s="4">
        <v>13.6</v>
      </c>
      <c r="AB39" s="33">
        <v>1</v>
      </c>
      <c r="AC39">
        <v>42.4</v>
      </c>
      <c r="AF39" s="4">
        <v>42.4</v>
      </c>
      <c r="AG39" s="4">
        <v>15.633333333333333</v>
      </c>
      <c r="AH39" s="4">
        <v>42.4</v>
      </c>
      <c r="AI39" s="33">
        <v>2</v>
      </c>
      <c r="AJ39" t="s">
        <v>118</v>
      </c>
      <c r="AK39" t="s">
        <v>152</v>
      </c>
      <c r="AL39" t="s">
        <v>220</v>
      </c>
      <c r="BS39" s="4"/>
      <c r="BT39"/>
    </row>
    <row r="40" spans="1:72" x14ac:dyDescent="0.3">
      <c r="A40">
        <v>91</v>
      </c>
      <c r="B40">
        <v>2</v>
      </c>
      <c r="C40" s="32" t="s">
        <v>79</v>
      </c>
      <c r="D40" s="32" t="s">
        <v>29</v>
      </c>
      <c r="E40" s="32"/>
      <c r="F40" t="s">
        <v>80</v>
      </c>
      <c r="G40" s="32" t="s">
        <v>55</v>
      </c>
      <c r="H40" s="32" t="s">
        <v>25</v>
      </c>
      <c r="K40" s="4">
        <v>0</v>
      </c>
      <c r="L40" s="33">
        <v>1</v>
      </c>
      <c r="O40" s="4">
        <v>0</v>
      </c>
      <c r="P40" s="33">
        <v>1</v>
      </c>
      <c r="Q40" s="4">
        <v>30.9</v>
      </c>
      <c r="R40" s="4">
        <v>0</v>
      </c>
      <c r="S40" s="4">
        <v>30.9</v>
      </c>
      <c r="T40" s="33">
        <v>1</v>
      </c>
      <c r="U40" s="4">
        <v>33</v>
      </c>
      <c r="V40" s="4">
        <v>0</v>
      </c>
      <c r="W40" s="4">
        <v>33</v>
      </c>
      <c r="X40" s="33">
        <v>1</v>
      </c>
      <c r="Y40" s="4">
        <v>28.7</v>
      </c>
      <c r="Z40" s="4">
        <v>0</v>
      </c>
      <c r="AA40" s="4">
        <v>28.7</v>
      </c>
      <c r="AB40" s="33">
        <v>1</v>
      </c>
      <c r="AC40">
        <v>92.6</v>
      </c>
      <c r="AF40" s="4">
        <v>92.6</v>
      </c>
      <c r="AG40" s="4">
        <v>30.866666666666664</v>
      </c>
      <c r="AH40" s="4">
        <v>92.6</v>
      </c>
      <c r="AI40" s="33">
        <v>1</v>
      </c>
      <c r="AJ40" t="s">
        <v>118</v>
      </c>
      <c r="AK40" t="s">
        <v>153</v>
      </c>
      <c r="AL40" t="s">
        <v>221</v>
      </c>
      <c r="BS40" s="4"/>
      <c r="BT40"/>
    </row>
    <row r="41" spans="1:72" x14ac:dyDescent="0.3">
      <c r="A41">
        <v>66</v>
      </c>
      <c r="B41">
        <v>2</v>
      </c>
      <c r="C41" s="32" t="s">
        <v>94</v>
      </c>
      <c r="D41" s="32" t="s">
        <v>30</v>
      </c>
      <c r="E41" s="32"/>
      <c r="F41" t="s">
        <v>96</v>
      </c>
      <c r="G41" s="32" t="s">
        <v>93</v>
      </c>
      <c r="H41" s="32" t="s">
        <v>25</v>
      </c>
      <c r="K41" s="4">
        <v>0</v>
      </c>
      <c r="L41" s="33">
        <v>1</v>
      </c>
      <c r="O41" s="4">
        <v>0</v>
      </c>
      <c r="P41" s="33">
        <v>1</v>
      </c>
      <c r="Q41" s="4">
        <v>16.600000000000001</v>
      </c>
      <c r="R41" s="4">
        <v>2</v>
      </c>
      <c r="S41" s="4">
        <v>14.600000000000001</v>
      </c>
      <c r="T41" s="33">
        <v>1</v>
      </c>
      <c r="U41" s="4">
        <v>18.8</v>
      </c>
      <c r="V41" s="4">
        <v>2</v>
      </c>
      <c r="W41" s="4">
        <v>16.8</v>
      </c>
      <c r="X41" s="33">
        <v>1</v>
      </c>
      <c r="Y41" s="4">
        <v>12</v>
      </c>
      <c r="Z41" s="4">
        <v>2</v>
      </c>
      <c r="AA41" s="4">
        <v>10</v>
      </c>
      <c r="AB41" s="33">
        <v>1</v>
      </c>
      <c r="AC41">
        <v>41.400000000000006</v>
      </c>
      <c r="AF41" s="4">
        <v>41.400000000000006</v>
      </c>
      <c r="AG41" s="4">
        <v>15.800000000000002</v>
      </c>
      <c r="AH41" s="4">
        <v>41.400000000000006</v>
      </c>
      <c r="AI41" s="33">
        <v>1</v>
      </c>
      <c r="AJ41" t="s">
        <v>118</v>
      </c>
      <c r="AK41" t="s">
        <v>154</v>
      </c>
      <c r="AL41" t="s">
        <v>222</v>
      </c>
      <c r="BS41" s="4"/>
      <c r="BT41"/>
    </row>
    <row r="42" spans="1:72" x14ac:dyDescent="0.3">
      <c r="A42">
        <v>64</v>
      </c>
      <c r="B42">
        <v>2</v>
      </c>
      <c r="C42" s="32" t="s">
        <v>94</v>
      </c>
      <c r="D42" s="32" t="s">
        <v>30</v>
      </c>
      <c r="E42" s="32"/>
      <c r="F42" t="s">
        <v>95</v>
      </c>
      <c r="G42" s="32" t="s">
        <v>83</v>
      </c>
      <c r="H42" s="32" t="s">
        <v>28</v>
      </c>
      <c r="K42" s="4">
        <v>0</v>
      </c>
      <c r="L42" s="33">
        <v>1</v>
      </c>
      <c r="O42" s="4">
        <v>0</v>
      </c>
      <c r="P42" s="33">
        <v>1</v>
      </c>
      <c r="Q42" s="4">
        <v>15</v>
      </c>
      <c r="R42" s="4">
        <v>0.5</v>
      </c>
      <c r="S42" s="4">
        <v>14.5</v>
      </c>
      <c r="T42" s="33">
        <v>2</v>
      </c>
      <c r="U42" s="4">
        <v>14.5</v>
      </c>
      <c r="V42" s="4">
        <v>0.5</v>
      </c>
      <c r="W42" s="4">
        <v>14</v>
      </c>
      <c r="X42" s="33">
        <v>2</v>
      </c>
      <c r="Y42" s="4">
        <v>10.9</v>
      </c>
      <c r="Z42" s="4">
        <v>1</v>
      </c>
      <c r="AA42" s="4">
        <v>9.9</v>
      </c>
      <c r="AB42" s="33">
        <v>2</v>
      </c>
      <c r="AC42">
        <v>38.4</v>
      </c>
      <c r="AF42" s="4">
        <v>38.4</v>
      </c>
      <c r="AG42" s="4">
        <v>13.466666666666667</v>
      </c>
      <c r="AH42" s="4">
        <v>38.4</v>
      </c>
      <c r="AI42" s="33">
        <v>2</v>
      </c>
      <c r="AJ42" t="s">
        <v>118</v>
      </c>
      <c r="AK42" t="s">
        <v>154</v>
      </c>
      <c r="AL42" t="s">
        <v>223</v>
      </c>
      <c r="BS42" s="4"/>
      <c r="BT42"/>
    </row>
    <row r="43" spans="1:72" x14ac:dyDescent="0.3">
      <c r="A43">
        <v>73</v>
      </c>
      <c r="B43">
        <v>1</v>
      </c>
      <c r="C43" s="32" t="s">
        <v>94</v>
      </c>
      <c r="D43" s="32" t="s">
        <v>23</v>
      </c>
      <c r="E43" s="32"/>
      <c r="F43" t="s">
        <v>103</v>
      </c>
      <c r="G43" s="32" t="s">
        <v>91</v>
      </c>
      <c r="H43" s="32" t="s">
        <v>28</v>
      </c>
      <c r="I43" s="4">
        <v>28.5</v>
      </c>
      <c r="J43" s="4">
        <v>0.5</v>
      </c>
      <c r="K43" s="4">
        <v>28</v>
      </c>
      <c r="L43" s="33">
        <v>1</v>
      </c>
      <c r="M43" s="4">
        <v>30.5</v>
      </c>
      <c r="N43" s="4">
        <v>0.5</v>
      </c>
      <c r="O43" s="4">
        <v>30</v>
      </c>
      <c r="P43" s="33">
        <v>1</v>
      </c>
      <c r="S43" s="4">
        <v>0</v>
      </c>
      <c r="T43" s="33">
        <v>1</v>
      </c>
      <c r="W43" s="4">
        <v>0</v>
      </c>
      <c r="X43" s="33">
        <v>1</v>
      </c>
      <c r="AA43" s="4">
        <v>0</v>
      </c>
      <c r="AB43" s="33">
        <v>1</v>
      </c>
      <c r="AC43">
        <v>58</v>
      </c>
      <c r="AF43" s="4">
        <v>58</v>
      </c>
      <c r="AG43" s="4">
        <v>29.5</v>
      </c>
      <c r="AH43" s="4">
        <v>58</v>
      </c>
      <c r="AI43" s="33">
        <v>1</v>
      </c>
      <c r="AJ43" t="s">
        <v>118</v>
      </c>
      <c r="AK43" t="s">
        <v>155</v>
      </c>
      <c r="AL43" t="s">
        <v>224</v>
      </c>
      <c r="BS43" s="4"/>
      <c r="BT43"/>
    </row>
    <row r="44" spans="1:72" x14ac:dyDescent="0.3">
      <c r="A44">
        <v>71</v>
      </c>
      <c r="B44">
        <v>1</v>
      </c>
      <c r="C44" s="32" t="s">
        <v>94</v>
      </c>
      <c r="D44" s="32" t="s">
        <v>23</v>
      </c>
      <c r="E44" s="32"/>
      <c r="F44" t="s">
        <v>102</v>
      </c>
      <c r="G44" s="32" t="s">
        <v>93</v>
      </c>
      <c r="H44" s="32" t="s">
        <v>25</v>
      </c>
      <c r="I44" s="4">
        <v>22.4</v>
      </c>
      <c r="J44" s="4">
        <v>1</v>
      </c>
      <c r="K44" s="4">
        <v>21.4</v>
      </c>
      <c r="L44" s="33">
        <v>2</v>
      </c>
      <c r="M44" s="4">
        <v>20.2</v>
      </c>
      <c r="N44" s="4">
        <v>1</v>
      </c>
      <c r="O44" s="4">
        <v>19.2</v>
      </c>
      <c r="P44" s="33">
        <v>2</v>
      </c>
      <c r="S44" s="4">
        <v>0</v>
      </c>
      <c r="T44" s="33">
        <v>1</v>
      </c>
      <c r="W44" s="4">
        <v>0</v>
      </c>
      <c r="X44" s="33">
        <v>1</v>
      </c>
      <c r="AA44" s="4">
        <v>0</v>
      </c>
      <c r="AB44" s="33">
        <v>1</v>
      </c>
      <c r="AC44">
        <v>40.599999999999994</v>
      </c>
      <c r="AF44" s="4">
        <v>40.599999999999994</v>
      </c>
      <c r="AG44" s="4">
        <v>21.299999999999997</v>
      </c>
      <c r="AH44" s="4">
        <v>40.599999999999994</v>
      </c>
      <c r="AI44" s="33">
        <v>2</v>
      </c>
      <c r="AJ44" t="s">
        <v>118</v>
      </c>
      <c r="AK44" t="s">
        <v>155</v>
      </c>
      <c r="AL44" t="s">
        <v>225</v>
      </c>
    </row>
    <row r="45" spans="1:72" x14ac:dyDescent="0.3">
      <c r="A45">
        <v>65</v>
      </c>
      <c r="B45">
        <v>1</v>
      </c>
      <c r="C45" s="32" t="s">
        <v>94</v>
      </c>
      <c r="D45" s="32" t="s">
        <v>23</v>
      </c>
      <c r="E45" s="32"/>
      <c r="F45" t="s">
        <v>99</v>
      </c>
      <c r="G45" s="32" t="s">
        <v>93</v>
      </c>
      <c r="H45" s="32" t="s">
        <v>25</v>
      </c>
      <c r="I45" s="4">
        <v>20.8</v>
      </c>
      <c r="J45" s="4">
        <v>3.5</v>
      </c>
      <c r="K45" s="4">
        <v>17.3</v>
      </c>
      <c r="L45" s="33">
        <v>3</v>
      </c>
      <c r="M45" s="4">
        <v>19.3</v>
      </c>
      <c r="N45" s="4">
        <v>3.5</v>
      </c>
      <c r="O45" s="4">
        <v>15.8</v>
      </c>
      <c r="P45" s="33">
        <v>3</v>
      </c>
      <c r="S45" s="4">
        <v>0</v>
      </c>
      <c r="T45" s="33">
        <v>1</v>
      </c>
      <c r="W45" s="4">
        <v>0</v>
      </c>
      <c r="X45" s="33">
        <v>1</v>
      </c>
      <c r="AA45" s="4">
        <v>0</v>
      </c>
      <c r="AB45" s="33">
        <v>1</v>
      </c>
      <c r="AC45">
        <v>33.1</v>
      </c>
      <c r="AF45" s="4">
        <v>33.1</v>
      </c>
      <c r="AG45" s="4">
        <v>20.05</v>
      </c>
      <c r="AH45" s="4">
        <v>33.1</v>
      </c>
      <c r="AI45" s="33">
        <v>3</v>
      </c>
      <c r="AJ45" t="s">
        <v>118</v>
      </c>
      <c r="AK45" t="s">
        <v>155</v>
      </c>
      <c r="AL45" t="s">
        <v>226</v>
      </c>
    </row>
    <row r="46" spans="1:72" x14ac:dyDescent="0.3">
      <c r="A46">
        <v>67</v>
      </c>
      <c r="B46">
        <v>1</v>
      </c>
      <c r="C46" s="32" t="s">
        <v>94</v>
      </c>
      <c r="D46" s="32" t="s">
        <v>23</v>
      </c>
      <c r="E46" s="32"/>
      <c r="F46" t="s">
        <v>100</v>
      </c>
      <c r="G46" s="32" t="s">
        <v>83</v>
      </c>
      <c r="H46" s="32" t="s">
        <v>28</v>
      </c>
      <c r="I46" s="4">
        <v>19.100000000000001</v>
      </c>
      <c r="J46" s="4">
        <v>2</v>
      </c>
      <c r="K46" s="4">
        <v>17.100000000000001</v>
      </c>
      <c r="L46" s="33">
        <v>4</v>
      </c>
      <c r="M46" s="4">
        <v>15.5</v>
      </c>
      <c r="N46" s="4">
        <v>2</v>
      </c>
      <c r="O46" s="4">
        <v>13.5</v>
      </c>
      <c r="P46" s="33">
        <v>4</v>
      </c>
      <c r="S46" s="4">
        <v>0</v>
      </c>
      <c r="T46" s="33">
        <v>1</v>
      </c>
      <c r="W46" s="4">
        <v>0</v>
      </c>
      <c r="X46" s="33">
        <v>1</v>
      </c>
      <c r="AA46" s="4">
        <v>0</v>
      </c>
      <c r="AB46" s="33">
        <v>1</v>
      </c>
      <c r="AC46">
        <v>30.6</v>
      </c>
      <c r="AF46" s="4">
        <v>30.6</v>
      </c>
      <c r="AG46" s="4">
        <v>17.3</v>
      </c>
      <c r="AH46" s="4">
        <v>30.6</v>
      </c>
      <c r="AI46" s="33">
        <v>4</v>
      </c>
      <c r="AJ46" t="s">
        <v>118</v>
      </c>
      <c r="AK46" t="s">
        <v>155</v>
      </c>
      <c r="AL46" t="s">
        <v>227</v>
      </c>
    </row>
    <row r="47" spans="1:72" x14ac:dyDescent="0.3">
      <c r="A47">
        <v>69</v>
      </c>
      <c r="B47">
        <v>1</v>
      </c>
      <c r="C47" s="32" t="s">
        <v>94</v>
      </c>
      <c r="D47" s="32" t="s">
        <v>23</v>
      </c>
      <c r="E47" s="32"/>
      <c r="F47" t="s">
        <v>101</v>
      </c>
      <c r="G47" s="32" t="s">
        <v>24</v>
      </c>
      <c r="H47" s="32" t="s">
        <v>25</v>
      </c>
      <c r="I47" s="4">
        <v>18.8</v>
      </c>
      <c r="J47" s="4">
        <v>3.5</v>
      </c>
      <c r="K47" s="4">
        <v>15.3</v>
      </c>
      <c r="L47" s="33">
        <v>5</v>
      </c>
      <c r="M47" s="4">
        <v>16.5</v>
      </c>
      <c r="N47" s="4">
        <v>3.5</v>
      </c>
      <c r="O47" s="4">
        <v>13</v>
      </c>
      <c r="P47" s="33">
        <v>5</v>
      </c>
      <c r="S47" s="4">
        <v>0</v>
      </c>
      <c r="T47" s="33">
        <v>1</v>
      </c>
      <c r="W47" s="4">
        <v>0</v>
      </c>
      <c r="X47" s="33">
        <v>1</v>
      </c>
      <c r="AA47" s="4">
        <v>0</v>
      </c>
      <c r="AB47" s="33">
        <v>1</v>
      </c>
      <c r="AC47">
        <v>28.3</v>
      </c>
      <c r="AF47" s="4">
        <v>28.3</v>
      </c>
      <c r="AG47" s="4">
        <v>17.649999999999999</v>
      </c>
      <c r="AH47" s="4">
        <v>28.3</v>
      </c>
      <c r="AI47" s="33">
        <v>5</v>
      </c>
      <c r="AJ47" t="s">
        <v>118</v>
      </c>
      <c r="AK47" t="s">
        <v>155</v>
      </c>
      <c r="AL47" t="s">
        <v>228</v>
      </c>
    </row>
    <row r="48" spans="1:72" x14ac:dyDescent="0.3">
      <c r="A48">
        <v>75</v>
      </c>
      <c r="B48">
        <v>1</v>
      </c>
      <c r="C48" s="32" t="s">
        <v>94</v>
      </c>
      <c r="D48" s="32" t="s">
        <v>23</v>
      </c>
      <c r="E48" s="32"/>
      <c r="F48" t="s">
        <v>104</v>
      </c>
      <c r="G48" s="32" t="s">
        <v>83</v>
      </c>
      <c r="H48" s="32" t="s">
        <v>28</v>
      </c>
      <c r="I48" s="4">
        <v>16</v>
      </c>
      <c r="J48" s="4">
        <v>2</v>
      </c>
      <c r="K48" s="4">
        <v>14</v>
      </c>
      <c r="L48" s="33">
        <v>6</v>
      </c>
      <c r="M48" s="4">
        <v>12.5</v>
      </c>
      <c r="N48" s="4">
        <v>2</v>
      </c>
      <c r="O48" s="4">
        <v>10.5</v>
      </c>
      <c r="P48" s="33">
        <v>6</v>
      </c>
      <c r="S48" s="4">
        <v>0</v>
      </c>
      <c r="T48" s="33">
        <v>1</v>
      </c>
      <c r="W48" s="4">
        <v>0</v>
      </c>
      <c r="X48" s="33">
        <v>1</v>
      </c>
      <c r="AA48" s="4">
        <v>0</v>
      </c>
      <c r="AB48" s="33">
        <v>1</v>
      </c>
      <c r="AC48">
        <v>24.5</v>
      </c>
      <c r="AF48" s="4">
        <v>24.5</v>
      </c>
      <c r="AG48" s="4">
        <v>14.25</v>
      </c>
      <c r="AH48" s="4">
        <v>24.5</v>
      </c>
      <c r="AI48" s="33">
        <v>6</v>
      </c>
      <c r="AJ48" t="s">
        <v>118</v>
      </c>
      <c r="AK48" t="s">
        <v>155</v>
      </c>
      <c r="AL48" t="s">
        <v>229</v>
      </c>
    </row>
    <row r="49" spans="1:38" x14ac:dyDescent="0.3">
      <c r="A49">
        <v>63</v>
      </c>
      <c r="B49">
        <v>1</v>
      </c>
      <c r="C49" s="32" t="s">
        <v>94</v>
      </c>
      <c r="D49" s="32" t="s">
        <v>23</v>
      </c>
      <c r="E49" s="32"/>
      <c r="F49" t="s">
        <v>97</v>
      </c>
      <c r="G49" s="32" t="s">
        <v>98</v>
      </c>
      <c r="H49" s="32" t="s">
        <v>28</v>
      </c>
      <c r="I49" s="4">
        <v>10</v>
      </c>
      <c r="J49" s="4">
        <v>4</v>
      </c>
      <c r="K49" s="4">
        <v>6</v>
      </c>
      <c r="L49" s="33">
        <v>7</v>
      </c>
      <c r="M49" s="4">
        <v>10</v>
      </c>
      <c r="N49" s="4">
        <v>4</v>
      </c>
      <c r="O49" s="4">
        <v>6</v>
      </c>
      <c r="P49" s="33">
        <v>7</v>
      </c>
      <c r="S49" s="4">
        <v>0</v>
      </c>
      <c r="T49" s="33">
        <v>1</v>
      </c>
      <c r="W49" s="4">
        <v>0</v>
      </c>
      <c r="X49" s="33">
        <v>1</v>
      </c>
      <c r="AA49" s="4">
        <v>0</v>
      </c>
      <c r="AB49" s="33">
        <v>1</v>
      </c>
      <c r="AC49">
        <v>12</v>
      </c>
      <c r="AF49" s="4">
        <v>12</v>
      </c>
      <c r="AG49" s="4">
        <v>10</v>
      </c>
      <c r="AH49" s="4">
        <v>12</v>
      </c>
      <c r="AI49" s="33">
        <v>7</v>
      </c>
      <c r="AJ49" t="s">
        <v>118</v>
      </c>
      <c r="AK49" t="s">
        <v>155</v>
      </c>
      <c r="AL49" t="s">
        <v>230</v>
      </c>
    </row>
    <row r="50" spans="1:38" x14ac:dyDescent="0.3">
      <c r="A50">
        <v>79</v>
      </c>
      <c r="B50">
        <v>1</v>
      </c>
      <c r="C50" s="32" t="s">
        <v>94</v>
      </c>
      <c r="D50" s="32" t="s">
        <v>27</v>
      </c>
      <c r="E50" s="32"/>
      <c r="F50" t="s">
        <v>106</v>
      </c>
      <c r="G50" s="32" t="s">
        <v>93</v>
      </c>
      <c r="H50" s="32" t="s">
        <v>25</v>
      </c>
      <c r="I50" s="4">
        <v>47.1</v>
      </c>
      <c r="J50" s="4">
        <v>0</v>
      </c>
      <c r="K50" s="4">
        <v>47.1</v>
      </c>
      <c r="L50" s="33">
        <v>1</v>
      </c>
      <c r="M50" s="4">
        <v>47</v>
      </c>
      <c r="N50" s="4">
        <v>0</v>
      </c>
      <c r="O50" s="4">
        <v>47</v>
      </c>
      <c r="P50" s="33">
        <v>1</v>
      </c>
      <c r="S50" s="4">
        <v>0</v>
      </c>
      <c r="T50" s="33">
        <v>1</v>
      </c>
      <c r="W50" s="4">
        <v>0</v>
      </c>
      <c r="X50" s="33">
        <v>1</v>
      </c>
      <c r="AA50" s="4">
        <v>0</v>
      </c>
      <c r="AB50" s="33">
        <v>1</v>
      </c>
      <c r="AC50">
        <v>94.1</v>
      </c>
      <c r="AF50" s="4">
        <v>94.1</v>
      </c>
      <c r="AG50" s="4">
        <v>47.05</v>
      </c>
      <c r="AH50" s="4">
        <v>94.1</v>
      </c>
      <c r="AI50" s="33">
        <v>1</v>
      </c>
      <c r="AJ50" t="s">
        <v>118</v>
      </c>
      <c r="AK50" t="s">
        <v>156</v>
      </c>
      <c r="AL50" t="s">
        <v>231</v>
      </c>
    </row>
    <row r="51" spans="1:38" x14ac:dyDescent="0.3">
      <c r="A51">
        <v>83</v>
      </c>
      <c r="B51">
        <v>1</v>
      </c>
      <c r="C51" s="32" t="s">
        <v>94</v>
      </c>
      <c r="D51" s="32" t="s">
        <v>27</v>
      </c>
      <c r="E51" s="32"/>
      <c r="F51" t="s">
        <v>108</v>
      </c>
      <c r="G51" s="32" t="s">
        <v>91</v>
      </c>
      <c r="H51" s="32" t="s">
        <v>28</v>
      </c>
      <c r="I51" s="4">
        <v>43.6</v>
      </c>
      <c r="J51" s="4">
        <v>1.5</v>
      </c>
      <c r="K51" s="4">
        <v>42.1</v>
      </c>
      <c r="L51" s="33">
        <v>2</v>
      </c>
      <c r="M51" s="4">
        <v>42.4</v>
      </c>
      <c r="N51" s="4">
        <v>1.5</v>
      </c>
      <c r="O51" s="4">
        <v>40.9</v>
      </c>
      <c r="P51" s="33">
        <v>2</v>
      </c>
      <c r="S51" s="4">
        <v>0</v>
      </c>
      <c r="T51" s="33">
        <v>1</v>
      </c>
      <c r="W51" s="4">
        <v>0</v>
      </c>
      <c r="X51" s="33">
        <v>1</v>
      </c>
      <c r="AA51" s="4">
        <v>0</v>
      </c>
      <c r="AB51" s="33">
        <v>1</v>
      </c>
      <c r="AC51">
        <v>83</v>
      </c>
      <c r="AF51" s="4">
        <v>83</v>
      </c>
      <c r="AG51" s="4">
        <v>43</v>
      </c>
      <c r="AH51" s="4">
        <v>83</v>
      </c>
      <c r="AI51" s="33">
        <v>2</v>
      </c>
      <c r="AJ51" t="s">
        <v>118</v>
      </c>
      <c r="AK51" t="s">
        <v>156</v>
      </c>
      <c r="AL51" t="s">
        <v>232</v>
      </c>
    </row>
    <row r="52" spans="1:38" x14ac:dyDescent="0.3">
      <c r="A52">
        <v>77</v>
      </c>
      <c r="B52">
        <v>1</v>
      </c>
      <c r="C52" s="32" t="s">
        <v>94</v>
      </c>
      <c r="D52" s="32" t="s">
        <v>27</v>
      </c>
      <c r="E52" s="32"/>
      <c r="F52" t="s">
        <v>105</v>
      </c>
      <c r="G52" s="32" t="s">
        <v>93</v>
      </c>
      <c r="H52" s="32" t="s">
        <v>25</v>
      </c>
      <c r="I52" s="4">
        <v>26</v>
      </c>
      <c r="J52" s="4">
        <v>0</v>
      </c>
      <c r="K52" s="4">
        <v>26</v>
      </c>
      <c r="L52" s="33">
        <v>3</v>
      </c>
      <c r="M52" s="4">
        <v>26</v>
      </c>
      <c r="N52" s="4">
        <v>0</v>
      </c>
      <c r="O52" s="4">
        <v>26</v>
      </c>
      <c r="P52" s="33">
        <v>3</v>
      </c>
      <c r="S52" s="4">
        <v>0</v>
      </c>
      <c r="T52" s="33">
        <v>1</v>
      </c>
      <c r="W52" s="4">
        <v>0</v>
      </c>
      <c r="X52" s="33">
        <v>1</v>
      </c>
      <c r="AA52" s="4">
        <v>0</v>
      </c>
      <c r="AB52" s="33">
        <v>1</v>
      </c>
      <c r="AC52">
        <v>52</v>
      </c>
      <c r="AF52" s="4">
        <v>52</v>
      </c>
      <c r="AG52" s="4">
        <v>26</v>
      </c>
      <c r="AH52" s="4">
        <v>52</v>
      </c>
      <c r="AI52" s="33">
        <v>3</v>
      </c>
      <c r="AJ52" t="s">
        <v>118</v>
      </c>
      <c r="AK52" t="s">
        <v>156</v>
      </c>
      <c r="AL52" t="s">
        <v>233</v>
      </c>
    </row>
    <row r="53" spans="1:38" x14ac:dyDescent="0.3">
      <c r="A53">
        <v>81</v>
      </c>
      <c r="B53">
        <v>1</v>
      </c>
      <c r="C53" s="32" t="s">
        <v>94</v>
      </c>
      <c r="D53" s="32" t="s">
        <v>27</v>
      </c>
      <c r="E53" s="32"/>
      <c r="F53" t="s">
        <v>107</v>
      </c>
      <c r="G53" s="32" t="s">
        <v>83</v>
      </c>
      <c r="H53" s="32" t="s">
        <v>28</v>
      </c>
      <c r="I53" s="4">
        <v>21.9</v>
      </c>
      <c r="J53" s="4">
        <v>3</v>
      </c>
      <c r="K53" s="4">
        <v>18.899999999999999</v>
      </c>
      <c r="L53" s="33">
        <v>4</v>
      </c>
      <c r="M53" s="4">
        <v>21.5</v>
      </c>
      <c r="N53" s="4">
        <v>3</v>
      </c>
      <c r="O53" s="4">
        <v>18.5</v>
      </c>
      <c r="P53" s="33">
        <v>4</v>
      </c>
      <c r="S53" s="4">
        <v>0</v>
      </c>
      <c r="T53" s="33">
        <v>1</v>
      </c>
      <c r="W53" s="4">
        <v>0</v>
      </c>
      <c r="X53" s="33">
        <v>1</v>
      </c>
      <c r="AA53" s="4">
        <v>0</v>
      </c>
      <c r="AB53" s="33">
        <v>1</v>
      </c>
      <c r="AC53">
        <v>37.4</v>
      </c>
      <c r="AF53" s="4">
        <v>37.4</v>
      </c>
      <c r="AG53" s="4">
        <v>21.7</v>
      </c>
      <c r="AH53" s="4">
        <v>37.4</v>
      </c>
      <c r="AI53" s="33">
        <v>4</v>
      </c>
      <c r="AJ53" t="s">
        <v>118</v>
      </c>
      <c r="AK53" t="s">
        <v>156</v>
      </c>
      <c r="AL53" t="s">
        <v>234</v>
      </c>
    </row>
    <row r="54" spans="1:38" x14ac:dyDescent="0.3">
      <c r="A54">
        <v>68</v>
      </c>
      <c r="B54">
        <v>2</v>
      </c>
      <c r="C54" s="32" t="s">
        <v>94</v>
      </c>
      <c r="D54" s="32" t="s">
        <v>29</v>
      </c>
      <c r="E54" s="32"/>
      <c r="F54" t="s">
        <v>109</v>
      </c>
      <c r="G54" s="32" t="s">
        <v>110</v>
      </c>
      <c r="H54" s="32" t="s">
        <v>28</v>
      </c>
      <c r="K54" s="4">
        <v>0</v>
      </c>
      <c r="L54" s="33">
        <v>1</v>
      </c>
      <c r="O54" s="4">
        <v>0</v>
      </c>
      <c r="P54" s="33">
        <v>1</v>
      </c>
      <c r="Q54" s="4">
        <v>19.600000000000001</v>
      </c>
      <c r="R54" s="4">
        <v>2</v>
      </c>
      <c r="S54" s="4">
        <v>17.600000000000001</v>
      </c>
      <c r="T54" s="33">
        <v>1</v>
      </c>
      <c r="U54" s="4">
        <v>18.5</v>
      </c>
      <c r="V54" s="4">
        <v>2</v>
      </c>
      <c r="W54" s="4">
        <v>16.5</v>
      </c>
      <c r="X54" s="33">
        <v>1</v>
      </c>
      <c r="Y54" s="4">
        <v>12.8</v>
      </c>
      <c r="Z54" s="4">
        <v>2</v>
      </c>
      <c r="AA54" s="4">
        <v>10.8</v>
      </c>
      <c r="AB54" s="33">
        <v>1</v>
      </c>
      <c r="AC54">
        <v>44.900000000000006</v>
      </c>
      <c r="AF54" s="4">
        <v>44.900000000000006</v>
      </c>
      <c r="AG54" s="4">
        <v>16.966666666666669</v>
      </c>
      <c r="AH54" s="4">
        <v>44.900000000000006</v>
      </c>
      <c r="AI54" s="33">
        <v>1</v>
      </c>
      <c r="AJ54" t="s">
        <v>118</v>
      </c>
      <c r="AK54" t="s">
        <v>157</v>
      </c>
      <c r="AL54" t="s">
        <v>235</v>
      </c>
    </row>
    <row r="55" spans="1:38" x14ac:dyDescent="0.3">
      <c r="A55">
        <v>70</v>
      </c>
      <c r="B55">
        <v>2</v>
      </c>
      <c r="C55" s="32" t="s">
        <v>115</v>
      </c>
      <c r="D55" s="32" t="s">
        <v>30</v>
      </c>
      <c r="E55" s="32"/>
      <c r="F55" t="s">
        <v>117</v>
      </c>
      <c r="G55" s="32" t="s">
        <v>67</v>
      </c>
      <c r="H55" s="32" t="s">
        <v>25</v>
      </c>
      <c r="K55" s="4">
        <v>0</v>
      </c>
      <c r="L55" s="33">
        <v>1</v>
      </c>
      <c r="O55" s="4">
        <v>0</v>
      </c>
      <c r="P55" s="33">
        <v>1</v>
      </c>
      <c r="Q55" s="4">
        <v>17.5</v>
      </c>
      <c r="R55" s="4">
        <v>0</v>
      </c>
      <c r="S55" s="4">
        <v>17.5</v>
      </c>
      <c r="T55" s="33">
        <v>1</v>
      </c>
      <c r="U55" s="4">
        <v>16.2</v>
      </c>
      <c r="V55" s="4">
        <v>0</v>
      </c>
      <c r="W55" s="4">
        <v>16.2</v>
      </c>
      <c r="X55" s="33">
        <v>1</v>
      </c>
      <c r="Y55" s="4">
        <v>14.2</v>
      </c>
      <c r="Z55" s="4">
        <v>0</v>
      </c>
      <c r="AA55" s="4">
        <v>14.2</v>
      </c>
      <c r="AB55" s="33">
        <v>1</v>
      </c>
      <c r="AC55">
        <v>47.900000000000006</v>
      </c>
      <c r="AF55" s="4">
        <v>47.900000000000006</v>
      </c>
      <c r="AG55" s="4">
        <v>15.966666666666669</v>
      </c>
      <c r="AH55" s="4">
        <v>47.900000000000006</v>
      </c>
      <c r="AI55" s="33">
        <v>1</v>
      </c>
      <c r="AJ55" t="s">
        <v>118</v>
      </c>
      <c r="AK55" t="s">
        <v>158</v>
      </c>
      <c r="AL55" t="s">
        <v>236</v>
      </c>
    </row>
    <row r="56" spans="1:38" x14ac:dyDescent="0.3">
      <c r="A56">
        <v>72</v>
      </c>
      <c r="B56">
        <v>2</v>
      </c>
      <c r="C56" s="32" t="s">
        <v>115</v>
      </c>
      <c r="D56" s="32" t="s">
        <v>23</v>
      </c>
      <c r="E56" s="32"/>
      <c r="F56" t="s">
        <v>116</v>
      </c>
      <c r="G56" s="32" t="s">
        <v>67</v>
      </c>
      <c r="H56" s="32" t="s">
        <v>25</v>
      </c>
      <c r="K56" s="4">
        <v>0</v>
      </c>
      <c r="L56" s="33">
        <v>1</v>
      </c>
      <c r="O56" s="4">
        <v>0</v>
      </c>
      <c r="P56" s="33">
        <v>1</v>
      </c>
      <c r="Q56" s="4">
        <v>23.1</v>
      </c>
      <c r="R56" s="4">
        <v>0</v>
      </c>
      <c r="S56" s="4">
        <v>23.1</v>
      </c>
      <c r="T56" s="33">
        <v>1</v>
      </c>
      <c r="U56" s="4">
        <v>22.4</v>
      </c>
      <c r="V56" s="4">
        <v>0</v>
      </c>
      <c r="W56" s="4">
        <v>22.4</v>
      </c>
      <c r="X56" s="33">
        <v>1</v>
      </c>
      <c r="Y56" s="4">
        <v>16.100000000000001</v>
      </c>
      <c r="Z56" s="4">
        <v>0</v>
      </c>
      <c r="AA56" s="4">
        <v>16.100000000000001</v>
      </c>
      <c r="AB56" s="33">
        <v>1</v>
      </c>
      <c r="AC56">
        <v>61.6</v>
      </c>
      <c r="AF56" s="4">
        <v>61.6</v>
      </c>
      <c r="AG56" s="4">
        <v>20.533333333333335</v>
      </c>
      <c r="AH56" s="4">
        <v>61.6</v>
      </c>
      <c r="AI56" s="33">
        <v>1</v>
      </c>
      <c r="AJ56" t="s">
        <v>118</v>
      </c>
      <c r="AK56" t="s">
        <v>159</v>
      </c>
      <c r="AL56" t="s">
        <v>237</v>
      </c>
    </row>
    <row r="57" spans="1:38" x14ac:dyDescent="0.3">
      <c r="A57">
        <v>76</v>
      </c>
      <c r="B57">
        <v>2</v>
      </c>
      <c r="C57" s="32" t="s">
        <v>115</v>
      </c>
      <c r="D57" s="32" t="s">
        <v>27</v>
      </c>
      <c r="E57" s="32"/>
      <c r="F57" t="s">
        <v>120</v>
      </c>
      <c r="G57" s="32" t="s">
        <v>110</v>
      </c>
      <c r="H57" s="32" t="s">
        <v>28</v>
      </c>
      <c r="K57" s="4">
        <v>0</v>
      </c>
      <c r="L57" s="33">
        <v>1</v>
      </c>
      <c r="O57" s="4">
        <v>0</v>
      </c>
      <c r="P57" s="33">
        <v>1</v>
      </c>
      <c r="Q57" s="4">
        <v>34.700000000000003</v>
      </c>
      <c r="R57" s="4">
        <v>1</v>
      </c>
      <c r="S57" s="4">
        <v>33.700000000000003</v>
      </c>
      <c r="T57" s="33">
        <v>1</v>
      </c>
      <c r="U57" s="4">
        <v>35</v>
      </c>
      <c r="V57" s="4">
        <v>1</v>
      </c>
      <c r="W57" s="4">
        <v>34</v>
      </c>
      <c r="X57" s="33">
        <v>1</v>
      </c>
      <c r="Y57" s="4">
        <v>24.7</v>
      </c>
      <c r="Z57" s="4">
        <v>1</v>
      </c>
      <c r="AA57" s="4">
        <v>23.7</v>
      </c>
      <c r="AB57" s="33">
        <v>2</v>
      </c>
      <c r="AC57">
        <v>91.4</v>
      </c>
      <c r="AF57" s="4">
        <v>91.4</v>
      </c>
      <c r="AG57" s="4">
        <v>31.466666666666669</v>
      </c>
      <c r="AH57" s="4">
        <v>91.4</v>
      </c>
      <c r="AI57" s="33">
        <v>1</v>
      </c>
      <c r="AJ57" t="s">
        <v>118</v>
      </c>
      <c r="AK57" t="s">
        <v>160</v>
      </c>
      <c r="AL57" t="s">
        <v>238</v>
      </c>
    </row>
    <row r="58" spans="1:38" x14ac:dyDescent="0.3">
      <c r="A58">
        <v>74</v>
      </c>
      <c r="B58">
        <v>2</v>
      </c>
      <c r="C58" s="32" t="s">
        <v>115</v>
      </c>
      <c r="D58" s="32" t="s">
        <v>27</v>
      </c>
      <c r="E58" s="32"/>
      <c r="F58" t="s">
        <v>119</v>
      </c>
      <c r="G58" s="32" t="s">
        <v>60</v>
      </c>
      <c r="H58" s="32" t="s">
        <v>25</v>
      </c>
      <c r="K58" s="4">
        <v>0</v>
      </c>
      <c r="L58" s="33">
        <v>1</v>
      </c>
      <c r="O58" s="4">
        <v>0</v>
      </c>
      <c r="P58" s="33">
        <v>1</v>
      </c>
      <c r="Q58" s="4">
        <v>29.7</v>
      </c>
      <c r="R58" s="4">
        <v>0</v>
      </c>
      <c r="S58" s="4">
        <v>29.7</v>
      </c>
      <c r="T58" s="33">
        <v>2</v>
      </c>
      <c r="U58" s="4">
        <v>32.5</v>
      </c>
      <c r="V58" s="4">
        <v>0</v>
      </c>
      <c r="W58" s="4">
        <v>32.5</v>
      </c>
      <c r="X58" s="33">
        <v>2</v>
      </c>
      <c r="Y58" s="4">
        <v>25.6</v>
      </c>
      <c r="Z58" s="4">
        <v>0</v>
      </c>
      <c r="AA58" s="4">
        <v>25.6</v>
      </c>
      <c r="AB58" s="33">
        <v>1</v>
      </c>
      <c r="AC58">
        <v>87.800000000000011</v>
      </c>
      <c r="AF58" s="4">
        <v>87.800000000000011</v>
      </c>
      <c r="AG58" s="4">
        <v>29.266666666666669</v>
      </c>
      <c r="AH58" s="4">
        <v>87.800000000000011</v>
      </c>
      <c r="AI58" s="33">
        <v>2</v>
      </c>
      <c r="AJ58" t="s">
        <v>118</v>
      </c>
      <c r="AK58" t="s">
        <v>160</v>
      </c>
      <c r="AL58" t="s">
        <v>239</v>
      </c>
    </row>
    <row r="59" spans="1:38" x14ac:dyDescent="0.3">
      <c r="A59">
        <v>78</v>
      </c>
      <c r="B59">
        <v>2</v>
      </c>
      <c r="C59" s="32" t="s">
        <v>115</v>
      </c>
      <c r="D59" s="32" t="s">
        <v>27</v>
      </c>
      <c r="E59" s="32"/>
      <c r="F59" t="s">
        <v>121</v>
      </c>
      <c r="G59" s="32" t="s">
        <v>73</v>
      </c>
      <c r="H59" s="32" t="s">
        <v>25</v>
      </c>
      <c r="K59" s="4">
        <v>0</v>
      </c>
      <c r="L59" s="33">
        <v>1</v>
      </c>
      <c r="O59" s="4">
        <v>0</v>
      </c>
      <c r="P59" s="33">
        <v>1</v>
      </c>
      <c r="Q59" s="4">
        <v>24.5</v>
      </c>
      <c r="R59" s="4">
        <v>0</v>
      </c>
      <c r="S59" s="4">
        <v>24.5</v>
      </c>
      <c r="T59" s="33">
        <v>3</v>
      </c>
      <c r="U59" s="4">
        <v>26.4</v>
      </c>
      <c r="V59" s="4">
        <v>0</v>
      </c>
      <c r="W59" s="4">
        <v>26.4</v>
      </c>
      <c r="X59" s="33">
        <v>3</v>
      </c>
      <c r="Y59" s="4">
        <v>15.5</v>
      </c>
      <c r="Z59" s="4">
        <v>0</v>
      </c>
      <c r="AA59" s="4">
        <v>15.5</v>
      </c>
      <c r="AB59" s="33">
        <v>3</v>
      </c>
      <c r="AC59">
        <v>66.400000000000006</v>
      </c>
      <c r="AF59" s="4">
        <v>66.400000000000006</v>
      </c>
      <c r="AG59" s="4">
        <v>22.133333333333336</v>
      </c>
      <c r="AH59" s="4">
        <v>66.400000000000006</v>
      </c>
      <c r="AI59" s="33">
        <v>3</v>
      </c>
      <c r="AJ59" t="s">
        <v>118</v>
      </c>
      <c r="AK59" t="s">
        <v>160</v>
      </c>
      <c r="AL59" t="s">
        <v>240</v>
      </c>
    </row>
    <row r="60" spans="1:38" x14ac:dyDescent="0.3">
      <c r="A60">
        <v>84</v>
      </c>
      <c r="B60">
        <v>2</v>
      </c>
      <c r="C60" s="32" t="s">
        <v>115</v>
      </c>
      <c r="D60" s="32" t="s">
        <v>29</v>
      </c>
      <c r="E60" s="32"/>
      <c r="F60" t="s">
        <v>124</v>
      </c>
      <c r="G60" s="32" t="s">
        <v>67</v>
      </c>
      <c r="H60" s="32" t="s">
        <v>25</v>
      </c>
      <c r="K60" s="4">
        <v>0</v>
      </c>
      <c r="L60" s="33">
        <v>1</v>
      </c>
      <c r="O60" s="4">
        <v>0</v>
      </c>
      <c r="P60" s="33">
        <v>1</v>
      </c>
      <c r="Q60" s="4">
        <v>32.4</v>
      </c>
      <c r="R60" s="4">
        <v>0</v>
      </c>
      <c r="S60" s="4">
        <v>32.4</v>
      </c>
      <c r="T60" s="33">
        <v>1</v>
      </c>
      <c r="U60" s="4">
        <v>27</v>
      </c>
      <c r="V60" s="4">
        <v>0</v>
      </c>
      <c r="W60" s="4">
        <v>27</v>
      </c>
      <c r="X60" s="33">
        <v>1</v>
      </c>
      <c r="Y60" s="4">
        <v>24.7</v>
      </c>
      <c r="Z60" s="4">
        <v>0</v>
      </c>
      <c r="AA60" s="4">
        <v>24.7</v>
      </c>
      <c r="AB60" s="33">
        <v>1</v>
      </c>
      <c r="AC60">
        <v>84.1</v>
      </c>
      <c r="AF60" s="4">
        <v>84.1</v>
      </c>
      <c r="AG60" s="4">
        <v>28.033333333333331</v>
      </c>
      <c r="AH60" s="4">
        <v>84.1</v>
      </c>
      <c r="AI60" s="33">
        <v>1</v>
      </c>
      <c r="AJ60" t="s">
        <v>118</v>
      </c>
      <c r="AK60" t="s">
        <v>161</v>
      </c>
      <c r="AL60" t="s">
        <v>241</v>
      </c>
    </row>
    <row r="61" spans="1:38" x14ac:dyDescent="0.3">
      <c r="A61">
        <v>82</v>
      </c>
      <c r="B61">
        <v>2</v>
      </c>
      <c r="C61" s="32" t="s">
        <v>115</v>
      </c>
      <c r="D61" s="32" t="s">
        <v>29</v>
      </c>
      <c r="E61" s="32"/>
      <c r="F61" t="s">
        <v>123</v>
      </c>
      <c r="G61" s="32" t="s">
        <v>60</v>
      </c>
      <c r="H61" s="32" t="s">
        <v>25</v>
      </c>
      <c r="K61" s="4">
        <v>0</v>
      </c>
      <c r="L61" s="33">
        <v>1</v>
      </c>
      <c r="O61" s="4">
        <v>0</v>
      </c>
      <c r="P61" s="33">
        <v>1</v>
      </c>
      <c r="Q61" s="4">
        <v>25.9</v>
      </c>
      <c r="R61" s="4">
        <v>0.5</v>
      </c>
      <c r="S61" s="4">
        <v>25.4</v>
      </c>
      <c r="T61" s="33">
        <v>2</v>
      </c>
      <c r="U61" s="4">
        <v>26.9</v>
      </c>
      <c r="V61" s="4">
        <v>0.5</v>
      </c>
      <c r="W61" s="4">
        <v>26.4</v>
      </c>
      <c r="X61" s="33">
        <v>2</v>
      </c>
      <c r="Y61" s="4">
        <v>25.1</v>
      </c>
      <c r="Z61" s="4">
        <v>0.5</v>
      </c>
      <c r="AA61" s="4">
        <v>24.6</v>
      </c>
      <c r="AB61" s="33">
        <v>2</v>
      </c>
      <c r="AC61">
        <v>76.400000000000006</v>
      </c>
      <c r="AF61" s="4">
        <v>76.400000000000006</v>
      </c>
      <c r="AG61" s="4">
        <v>25.966666666666669</v>
      </c>
      <c r="AH61" s="4">
        <v>76.400000000000006</v>
      </c>
      <c r="AI61" s="33">
        <v>2</v>
      </c>
      <c r="AJ61" t="s">
        <v>118</v>
      </c>
      <c r="AK61" t="s">
        <v>161</v>
      </c>
      <c r="AL61" t="s">
        <v>242</v>
      </c>
    </row>
    <row r="62" spans="1:38" x14ac:dyDescent="0.3">
      <c r="A62">
        <v>80</v>
      </c>
      <c r="B62">
        <v>2</v>
      </c>
      <c r="C62" s="32" t="s">
        <v>115</v>
      </c>
      <c r="D62" s="32" t="s">
        <v>29</v>
      </c>
      <c r="E62" s="32"/>
      <c r="F62" t="s">
        <v>122</v>
      </c>
      <c r="G62" s="32" t="s">
        <v>55</v>
      </c>
      <c r="H62" s="32" t="s">
        <v>25</v>
      </c>
      <c r="K62" s="4">
        <v>0</v>
      </c>
      <c r="L62" s="33">
        <v>1</v>
      </c>
      <c r="O62" s="4">
        <v>0</v>
      </c>
      <c r="P62" s="33">
        <v>1</v>
      </c>
      <c r="Q62" s="4">
        <v>25</v>
      </c>
      <c r="R62" s="4">
        <v>0</v>
      </c>
      <c r="S62" s="4">
        <v>25</v>
      </c>
      <c r="T62" s="33">
        <v>3</v>
      </c>
      <c r="U62" s="4">
        <v>26.3</v>
      </c>
      <c r="V62" s="4">
        <v>0</v>
      </c>
      <c r="W62" s="4">
        <v>26.3</v>
      </c>
      <c r="X62" s="33">
        <v>3</v>
      </c>
      <c r="Y62" s="4">
        <v>24.2</v>
      </c>
      <c r="Z62" s="4">
        <v>0</v>
      </c>
      <c r="AA62" s="4">
        <v>24.2</v>
      </c>
      <c r="AB62" s="33">
        <v>3</v>
      </c>
      <c r="AC62">
        <v>75.5</v>
      </c>
      <c r="AF62" s="4">
        <v>75.5</v>
      </c>
      <c r="AG62" s="4">
        <v>25.166666666666668</v>
      </c>
      <c r="AH62" s="4">
        <v>75.5</v>
      </c>
      <c r="AI62" s="33">
        <v>3</v>
      </c>
      <c r="AJ62" t="s">
        <v>118</v>
      </c>
      <c r="AK62" t="s">
        <v>161</v>
      </c>
      <c r="AL62" t="s">
        <v>243</v>
      </c>
    </row>
    <row r="63" spans="1:38" x14ac:dyDescent="0.3">
      <c r="A63">
        <v>5</v>
      </c>
      <c r="C63" s="32" t="s">
        <v>129</v>
      </c>
      <c r="D63" s="32" t="s">
        <v>127</v>
      </c>
      <c r="E63" s="32"/>
      <c r="G63" s="32" t="s">
        <v>126</v>
      </c>
      <c r="H63" s="32" t="s">
        <v>28</v>
      </c>
      <c r="I63" s="4">
        <v>64</v>
      </c>
      <c r="J63" s="4">
        <v>0</v>
      </c>
      <c r="K63" s="4">
        <v>64</v>
      </c>
      <c r="L63" s="33">
        <v>1</v>
      </c>
      <c r="M63" s="4">
        <v>61.7</v>
      </c>
      <c r="N63" s="4">
        <v>0</v>
      </c>
      <c r="O63" s="4">
        <v>61.7</v>
      </c>
      <c r="P63" s="33">
        <v>1</v>
      </c>
      <c r="Q63" s="4">
        <v>63.7</v>
      </c>
      <c r="S63" s="4">
        <v>63.7</v>
      </c>
      <c r="T63" s="33">
        <v>1</v>
      </c>
      <c r="U63" s="4">
        <v>61.8</v>
      </c>
      <c r="V63" s="4">
        <v>0</v>
      </c>
      <c r="W63" s="4">
        <v>61.8</v>
      </c>
      <c r="X63" s="33">
        <v>1</v>
      </c>
      <c r="Y63" s="4">
        <v>58.5</v>
      </c>
      <c r="Z63" s="4">
        <v>0</v>
      </c>
      <c r="AA63" s="4">
        <v>58.5</v>
      </c>
      <c r="AB63" s="33">
        <v>1</v>
      </c>
      <c r="AC63">
        <v>309.7</v>
      </c>
      <c r="AD63" s="4">
        <v>58.5</v>
      </c>
      <c r="AE63" s="4">
        <v>64</v>
      </c>
      <c r="AF63" s="4">
        <v>187.2</v>
      </c>
      <c r="AG63" s="4">
        <v>61.94</v>
      </c>
      <c r="AH63" s="4">
        <v>187.2</v>
      </c>
      <c r="AI63" s="33">
        <v>1</v>
      </c>
      <c r="AJ63" t="s">
        <v>26</v>
      </c>
      <c r="AK63" t="s">
        <v>162</v>
      </c>
    </row>
    <row r="64" spans="1:38" x14ac:dyDescent="0.3">
      <c r="A64">
        <v>13</v>
      </c>
      <c r="C64" s="32" t="s">
        <v>125</v>
      </c>
      <c r="D64" s="32" t="s">
        <v>30</v>
      </c>
      <c r="E64" s="32"/>
      <c r="G64" s="32" t="s">
        <v>24</v>
      </c>
      <c r="H64" s="32" t="s">
        <v>25</v>
      </c>
      <c r="I64" s="4">
        <v>64.5</v>
      </c>
      <c r="J64" s="4">
        <v>0</v>
      </c>
      <c r="K64" s="4">
        <v>64.5</v>
      </c>
      <c r="L64" s="33">
        <v>1</v>
      </c>
      <c r="M64" s="4">
        <v>62.4</v>
      </c>
      <c r="N64" s="4">
        <v>0</v>
      </c>
      <c r="O64" s="4">
        <v>62.4</v>
      </c>
      <c r="P64" s="33">
        <v>1</v>
      </c>
      <c r="Q64" s="4">
        <v>64</v>
      </c>
      <c r="R64" s="4">
        <v>0</v>
      </c>
      <c r="S64" s="4">
        <v>64</v>
      </c>
      <c r="T64" s="33">
        <v>1</v>
      </c>
      <c r="U64" s="4">
        <v>60.9</v>
      </c>
      <c r="V64" s="4">
        <v>0</v>
      </c>
      <c r="W64" s="4">
        <v>60.9</v>
      </c>
      <c r="X64" s="33">
        <v>1</v>
      </c>
      <c r="Y64" s="4">
        <v>58</v>
      </c>
      <c r="Z64" s="4">
        <v>0</v>
      </c>
      <c r="AA64" s="4">
        <v>58</v>
      </c>
      <c r="AB64" s="33">
        <v>1</v>
      </c>
      <c r="AC64">
        <v>309.8</v>
      </c>
      <c r="AD64" s="4">
        <v>58</v>
      </c>
      <c r="AE64" s="4">
        <v>64.5</v>
      </c>
      <c r="AF64" s="4">
        <v>187.3</v>
      </c>
      <c r="AG64" s="4">
        <v>61.96</v>
      </c>
      <c r="AH64" s="4">
        <v>187.3</v>
      </c>
      <c r="AI64" s="33">
        <v>1</v>
      </c>
      <c r="AJ64" t="s">
        <v>26</v>
      </c>
      <c r="AK64" t="s">
        <v>163</v>
      </c>
    </row>
    <row r="65" spans="1:37" x14ac:dyDescent="0.3">
      <c r="A65">
        <v>14</v>
      </c>
      <c r="C65" s="32" t="s">
        <v>125</v>
      </c>
      <c r="D65" s="32" t="s">
        <v>30</v>
      </c>
      <c r="E65" s="32"/>
      <c r="G65" s="32" t="s">
        <v>98</v>
      </c>
      <c r="H65" s="32" t="s">
        <v>28</v>
      </c>
      <c r="I65" s="4">
        <v>51.5</v>
      </c>
      <c r="J65" s="4">
        <v>0</v>
      </c>
      <c r="K65" s="4">
        <v>51.5</v>
      </c>
      <c r="L65" s="33">
        <v>2</v>
      </c>
      <c r="M65" s="4">
        <v>49</v>
      </c>
      <c r="N65" s="4">
        <v>0</v>
      </c>
      <c r="O65" s="4">
        <v>49</v>
      </c>
      <c r="P65" s="33">
        <v>2</v>
      </c>
      <c r="Q65" s="4">
        <v>58.3</v>
      </c>
      <c r="R65" s="4">
        <v>0</v>
      </c>
      <c r="S65" s="4">
        <v>58.3</v>
      </c>
      <c r="T65" s="33">
        <v>2</v>
      </c>
      <c r="U65" s="4">
        <v>59</v>
      </c>
      <c r="V65" s="4">
        <v>0</v>
      </c>
      <c r="W65" s="4">
        <v>59</v>
      </c>
      <c r="X65" s="33">
        <v>2</v>
      </c>
      <c r="Y65" s="4">
        <v>54.6</v>
      </c>
      <c r="Z65" s="4">
        <v>0</v>
      </c>
      <c r="AA65" s="4">
        <v>54.6</v>
      </c>
      <c r="AB65" s="33">
        <v>2</v>
      </c>
      <c r="AC65">
        <v>272.40000000000003</v>
      </c>
      <c r="AD65" s="4">
        <v>49</v>
      </c>
      <c r="AE65" s="4">
        <v>59</v>
      </c>
      <c r="AF65" s="4">
        <v>164.40000000000003</v>
      </c>
      <c r="AG65" s="4">
        <v>54.480000000000004</v>
      </c>
      <c r="AH65" s="4">
        <v>164.40000000000003</v>
      </c>
      <c r="AI65" s="33">
        <v>2</v>
      </c>
      <c r="AJ65" t="s">
        <v>26</v>
      </c>
      <c r="AK65" t="s">
        <v>163</v>
      </c>
    </row>
    <row r="66" spans="1:37" x14ac:dyDescent="0.3">
      <c r="A66">
        <v>3</v>
      </c>
      <c r="C66" s="32" t="s">
        <v>129</v>
      </c>
      <c r="D66" s="32" t="s">
        <v>30</v>
      </c>
      <c r="E66" s="32"/>
      <c r="G66" s="32" t="s">
        <v>31</v>
      </c>
      <c r="H66" s="32" t="s">
        <v>25</v>
      </c>
      <c r="I66" s="4">
        <v>68.5</v>
      </c>
      <c r="J66" s="4">
        <v>0</v>
      </c>
      <c r="K66" s="4">
        <v>68.5</v>
      </c>
      <c r="L66" s="33">
        <v>1</v>
      </c>
      <c r="M66" s="4">
        <v>71.400000000000006</v>
      </c>
      <c r="N66" s="4">
        <v>0</v>
      </c>
      <c r="O66" s="4">
        <v>71.400000000000006</v>
      </c>
      <c r="P66" s="33">
        <v>1</v>
      </c>
      <c r="Q66" s="4">
        <v>72</v>
      </c>
      <c r="R66" s="4">
        <v>0</v>
      </c>
      <c r="S66" s="4">
        <v>72</v>
      </c>
      <c r="T66" s="33">
        <v>1</v>
      </c>
      <c r="U66" s="4">
        <v>64.8</v>
      </c>
      <c r="V66" s="4">
        <v>0</v>
      </c>
      <c r="W66" s="4">
        <v>64.8</v>
      </c>
      <c r="X66" s="33">
        <v>1</v>
      </c>
      <c r="Y66" s="4">
        <v>65.3</v>
      </c>
      <c r="Z66" s="4">
        <v>0</v>
      </c>
      <c r="AA66" s="4">
        <v>65.3</v>
      </c>
      <c r="AB66" s="33">
        <v>1</v>
      </c>
      <c r="AC66">
        <v>342</v>
      </c>
      <c r="AD66" s="4">
        <v>64.8</v>
      </c>
      <c r="AE66" s="4">
        <v>72</v>
      </c>
      <c r="AF66" s="4">
        <v>205.2</v>
      </c>
      <c r="AG66" s="4">
        <v>68.400000000000006</v>
      </c>
      <c r="AH66" s="4">
        <v>205.2</v>
      </c>
      <c r="AI66" s="33">
        <v>1</v>
      </c>
      <c r="AJ66" t="s">
        <v>26</v>
      </c>
      <c r="AK66" t="s">
        <v>164</v>
      </c>
    </row>
    <row r="67" spans="1:37" x14ac:dyDescent="0.3">
      <c r="A67">
        <v>1</v>
      </c>
      <c r="C67" s="32" t="s">
        <v>129</v>
      </c>
      <c r="D67" s="32" t="s">
        <v>30</v>
      </c>
      <c r="E67" s="32"/>
      <c r="G67" s="32" t="s">
        <v>83</v>
      </c>
      <c r="H67" s="32" t="s">
        <v>28</v>
      </c>
      <c r="I67" s="4">
        <v>65</v>
      </c>
      <c r="J67" s="4">
        <v>0</v>
      </c>
      <c r="K67" s="4">
        <v>65</v>
      </c>
      <c r="L67" s="33">
        <v>2</v>
      </c>
      <c r="M67" s="4">
        <v>64.3</v>
      </c>
      <c r="N67" s="4">
        <v>0</v>
      </c>
      <c r="O67" s="4">
        <v>64.3</v>
      </c>
      <c r="P67" s="33">
        <v>2</v>
      </c>
      <c r="Q67" s="4">
        <v>65.5</v>
      </c>
      <c r="R67" s="4">
        <v>0</v>
      </c>
      <c r="S67" s="4">
        <v>65.5</v>
      </c>
      <c r="T67" s="33">
        <v>2</v>
      </c>
      <c r="U67" s="4">
        <v>64.400000000000006</v>
      </c>
      <c r="V67" s="4">
        <v>0</v>
      </c>
      <c r="W67" s="4">
        <v>64.400000000000006</v>
      </c>
      <c r="X67" s="33">
        <v>2</v>
      </c>
      <c r="Y67" s="4">
        <v>63.5</v>
      </c>
      <c r="Z67" s="4">
        <v>0</v>
      </c>
      <c r="AA67" s="4">
        <v>63.5</v>
      </c>
      <c r="AB67" s="33">
        <v>2</v>
      </c>
      <c r="AC67">
        <v>322.70000000000005</v>
      </c>
      <c r="AD67" s="4">
        <v>63.5</v>
      </c>
      <c r="AE67" s="4">
        <v>65.5</v>
      </c>
      <c r="AF67" s="4">
        <v>193.70000000000005</v>
      </c>
      <c r="AG67" s="4">
        <v>64.540000000000006</v>
      </c>
      <c r="AH67" s="4">
        <v>193.70000000000005</v>
      </c>
      <c r="AI67" s="33">
        <v>2</v>
      </c>
      <c r="AJ67" t="s">
        <v>26</v>
      </c>
      <c r="AK67" t="s">
        <v>164</v>
      </c>
    </row>
    <row r="68" spans="1:37" x14ac:dyDescent="0.3">
      <c r="A68">
        <v>2</v>
      </c>
      <c r="C68" s="32" t="s">
        <v>129</v>
      </c>
      <c r="D68" s="32" t="s">
        <v>30</v>
      </c>
      <c r="E68" s="32"/>
      <c r="G68" s="32" t="s">
        <v>24</v>
      </c>
      <c r="H68" s="32" t="s">
        <v>25</v>
      </c>
      <c r="I68" s="4">
        <v>55</v>
      </c>
      <c r="J68" s="4">
        <v>0</v>
      </c>
      <c r="K68" s="4">
        <v>55</v>
      </c>
      <c r="L68" s="33">
        <v>3</v>
      </c>
      <c r="M68" s="4">
        <v>59.4</v>
      </c>
      <c r="N68" s="4">
        <v>0</v>
      </c>
      <c r="O68" s="4">
        <v>59.4</v>
      </c>
      <c r="P68" s="33">
        <v>3</v>
      </c>
      <c r="Q68" s="4">
        <v>62</v>
      </c>
      <c r="R68" s="4">
        <v>0</v>
      </c>
      <c r="S68" s="4">
        <v>62</v>
      </c>
      <c r="T68" s="33">
        <v>3</v>
      </c>
      <c r="U68" s="4">
        <v>59.1</v>
      </c>
      <c r="V68" s="4">
        <v>0</v>
      </c>
      <c r="W68" s="4">
        <v>59.1</v>
      </c>
      <c r="X68" s="33">
        <v>3</v>
      </c>
      <c r="Y68" s="4">
        <v>56.5</v>
      </c>
      <c r="Z68" s="4">
        <v>0</v>
      </c>
      <c r="AA68" s="4">
        <v>56.5</v>
      </c>
      <c r="AB68" s="33">
        <v>4</v>
      </c>
      <c r="AC68">
        <v>292</v>
      </c>
      <c r="AD68" s="4">
        <v>55</v>
      </c>
      <c r="AE68" s="4">
        <v>62</v>
      </c>
      <c r="AF68" s="4">
        <v>175</v>
      </c>
      <c r="AG68" s="4">
        <v>58.4</v>
      </c>
      <c r="AH68" s="4">
        <v>175</v>
      </c>
      <c r="AI68" s="33">
        <v>3</v>
      </c>
      <c r="AJ68" t="s">
        <v>26</v>
      </c>
      <c r="AK68" t="s">
        <v>164</v>
      </c>
    </row>
    <row r="69" spans="1:37" x14ac:dyDescent="0.3">
      <c r="A69">
        <v>4</v>
      </c>
      <c r="C69" s="32" t="s">
        <v>129</v>
      </c>
      <c r="D69" s="32" t="s">
        <v>30</v>
      </c>
      <c r="E69" s="32"/>
      <c r="G69" s="32" t="s">
        <v>128</v>
      </c>
      <c r="H69" s="32" t="s">
        <v>28</v>
      </c>
      <c r="I69" s="4">
        <v>52.5</v>
      </c>
      <c r="J69" s="4">
        <v>0.5</v>
      </c>
      <c r="K69" s="4">
        <v>52</v>
      </c>
      <c r="L69" s="33">
        <v>4</v>
      </c>
      <c r="M69" s="4">
        <v>58.8</v>
      </c>
      <c r="N69" s="4">
        <v>0.5</v>
      </c>
      <c r="O69" s="4">
        <v>58.3</v>
      </c>
      <c r="P69" s="33">
        <v>4</v>
      </c>
      <c r="Q69" s="4">
        <v>61.8</v>
      </c>
      <c r="R69" s="4">
        <v>0.5</v>
      </c>
      <c r="S69" s="4">
        <v>61.3</v>
      </c>
      <c r="T69" s="33">
        <v>4</v>
      </c>
      <c r="U69" s="4">
        <v>59.4</v>
      </c>
      <c r="V69" s="4">
        <v>0.5</v>
      </c>
      <c r="W69" s="4">
        <v>58.9</v>
      </c>
      <c r="X69" s="33">
        <v>4</v>
      </c>
      <c r="Y69" s="4">
        <v>57.2</v>
      </c>
      <c r="Z69" s="4">
        <v>0.5</v>
      </c>
      <c r="AA69" s="4">
        <v>56.7</v>
      </c>
      <c r="AB69" s="33">
        <v>3</v>
      </c>
      <c r="AC69">
        <v>287.2</v>
      </c>
      <c r="AD69" s="4">
        <v>52</v>
      </c>
      <c r="AE69" s="4">
        <v>61.3</v>
      </c>
      <c r="AF69" s="4">
        <v>173.89999999999998</v>
      </c>
      <c r="AG69" s="4">
        <v>57.94</v>
      </c>
      <c r="AH69" s="4">
        <v>173.89999999999998</v>
      </c>
      <c r="AI69" s="33">
        <v>4</v>
      </c>
      <c r="AJ69" t="s">
        <v>26</v>
      </c>
      <c r="AK69" t="s">
        <v>164</v>
      </c>
    </row>
    <row r="70" spans="1:37" x14ac:dyDescent="0.3">
      <c r="A70">
        <v>7</v>
      </c>
      <c r="C70" s="32" t="s">
        <v>129</v>
      </c>
      <c r="D70" s="32" t="s">
        <v>23</v>
      </c>
      <c r="E70" s="32"/>
      <c r="G70" s="32" t="s">
        <v>83</v>
      </c>
      <c r="H70" s="32" t="s">
        <v>28</v>
      </c>
      <c r="I70" s="4">
        <v>86.1</v>
      </c>
      <c r="J70" s="4">
        <v>0</v>
      </c>
      <c r="K70" s="4">
        <v>86.1</v>
      </c>
      <c r="L70" s="33">
        <v>1</v>
      </c>
      <c r="M70" s="4">
        <v>80.400000000000006</v>
      </c>
      <c r="N70" s="4">
        <v>0</v>
      </c>
      <c r="O70" s="4">
        <v>80.400000000000006</v>
      </c>
      <c r="P70" s="33">
        <v>1</v>
      </c>
      <c r="Q70" s="4">
        <v>84.4</v>
      </c>
      <c r="R70" s="4">
        <v>0</v>
      </c>
      <c r="S70" s="4">
        <v>84.4</v>
      </c>
      <c r="T70" s="33">
        <v>1</v>
      </c>
      <c r="U70" s="4">
        <v>81.3</v>
      </c>
      <c r="V70" s="4">
        <v>0</v>
      </c>
      <c r="W70" s="4">
        <v>81.3</v>
      </c>
      <c r="X70" s="33">
        <v>1</v>
      </c>
      <c r="Y70" s="4">
        <v>78.5</v>
      </c>
      <c r="Z70" s="4">
        <v>0</v>
      </c>
      <c r="AA70" s="4">
        <v>78.5</v>
      </c>
      <c r="AB70" s="33">
        <v>1</v>
      </c>
      <c r="AC70">
        <v>410.7</v>
      </c>
      <c r="AD70" s="4">
        <v>78.5</v>
      </c>
      <c r="AE70" s="4">
        <v>86.1</v>
      </c>
      <c r="AF70" s="4">
        <v>246.1</v>
      </c>
      <c r="AG70" s="4">
        <v>82.14</v>
      </c>
      <c r="AH70" s="4">
        <v>246.1</v>
      </c>
      <c r="AI70" s="33">
        <v>1</v>
      </c>
      <c r="AJ70" t="s">
        <v>26</v>
      </c>
      <c r="AK70" t="s">
        <v>165</v>
      </c>
    </row>
    <row r="71" spans="1:37" x14ac:dyDescent="0.3">
      <c r="A71">
        <v>8</v>
      </c>
      <c r="C71" s="32" t="s">
        <v>129</v>
      </c>
      <c r="D71" s="32" t="s">
        <v>23</v>
      </c>
      <c r="E71" s="32"/>
      <c r="G71" s="32" t="s">
        <v>128</v>
      </c>
      <c r="H71" s="32" t="s">
        <v>28</v>
      </c>
      <c r="I71" s="4">
        <v>71.5</v>
      </c>
      <c r="J71" s="4">
        <v>0.5</v>
      </c>
      <c r="K71" s="4">
        <v>71</v>
      </c>
      <c r="L71" s="33">
        <v>2</v>
      </c>
      <c r="M71" s="4">
        <v>68.400000000000006</v>
      </c>
      <c r="N71" s="4">
        <v>1</v>
      </c>
      <c r="O71" s="4">
        <v>67.400000000000006</v>
      </c>
      <c r="P71" s="33">
        <v>2</v>
      </c>
      <c r="Q71" s="4">
        <v>72.3</v>
      </c>
      <c r="R71" s="4">
        <v>1</v>
      </c>
      <c r="S71" s="4">
        <v>71.3</v>
      </c>
      <c r="T71" s="33">
        <v>2</v>
      </c>
      <c r="U71" s="4">
        <v>67.599999999999994</v>
      </c>
      <c r="V71" s="4">
        <v>1</v>
      </c>
      <c r="W71" s="4">
        <v>66.599999999999994</v>
      </c>
      <c r="X71" s="33">
        <v>2</v>
      </c>
      <c r="Y71" s="4">
        <v>75.3</v>
      </c>
      <c r="Z71" s="4">
        <v>1</v>
      </c>
      <c r="AA71" s="4">
        <v>74.3</v>
      </c>
      <c r="AB71" s="33">
        <v>2</v>
      </c>
      <c r="AC71">
        <v>350.59999999999997</v>
      </c>
      <c r="AD71" s="4">
        <v>66.599999999999994</v>
      </c>
      <c r="AE71" s="4">
        <v>74.3</v>
      </c>
      <c r="AF71" s="4">
        <v>209.7</v>
      </c>
      <c r="AG71" s="4">
        <v>71.02</v>
      </c>
      <c r="AH71" s="4">
        <v>209.7</v>
      </c>
      <c r="AI71" s="33">
        <v>2</v>
      </c>
      <c r="AJ71" t="s">
        <v>26</v>
      </c>
      <c r="AK71" t="s">
        <v>165</v>
      </c>
    </row>
    <row r="72" spans="1:37" x14ac:dyDescent="0.3">
      <c r="A72">
        <v>6</v>
      </c>
      <c r="C72" s="32" t="s">
        <v>129</v>
      </c>
      <c r="D72" s="32" t="s">
        <v>23</v>
      </c>
      <c r="E72" s="32"/>
      <c r="G72" s="32" t="s">
        <v>24</v>
      </c>
      <c r="H72" s="32" t="s">
        <v>25</v>
      </c>
      <c r="I72" s="4">
        <v>65.5</v>
      </c>
      <c r="J72" s="4">
        <v>0</v>
      </c>
      <c r="K72" s="4">
        <v>65.5</v>
      </c>
      <c r="L72" s="33">
        <v>3</v>
      </c>
      <c r="M72" s="4">
        <v>66.900000000000006</v>
      </c>
      <c r="N72" s="4">
        <v>0</v>
      </c>
      <c r="O72" s="4">
        <v>66.900000000000006</v>
      </c>
      <c r="P72" s="33">
        <v>3</v>
      </c>
      <c r="Q72" s="4">
        <v>68.099999999999994</v>
      </c>
      <c r="R72" s="4">
        <v>0</v>
      </c>
      <c r="S72" s="4">
        <v>68.099999999999994</v>
      </c>
      <c r="T72" s="33">
        <v>3</v>
      </c>
      <c r="U72" s="4">
        <v>61.1</v>
      </c>
      <c r="V72" s="4">
        <v>0</v>
      </c>
      <c r="W72" s="4">
        <v>61.1</v>
      </c>
      <c r="X72" s="33">
        <v>3</v>
      </c>
      <c r="Y72" s="4">
        <v>62.5</v>
      </c>
      <c r="Z72" s="4">
        <v>0</v>
      </c>
      <c r="AA72" s="4">
        <v>62.5</v>
      </c>
      <c r="AB72" s="33">
        <v>3</v>
      </c>
      <c r="AC72">
        <v>324.10000000000002</v>
      </c>
      <c r="AD72" s="4">
        <v>61.1</v>
      </c>
      <c r="AE72" s="4">
        <v>68.099999999999994</v>
      </c>
      <c r="AF72" s="4">
        <v>194.9</v>
      </c>
      <c r="AG72" s="4">
        <v>64.820000000000007</v>
      </c>
      <c r="AH72" s="4">
        <v>194.9</v>
      </c>
      <c r="AI72" s="33">
        <v>3</v>
      </c>
      <c r="AJ72" t="s">
        <v>26</v>
      </c>
      <c r="AK72" t="s">
        <v>165</v>
      </c>
    </row>
    <row r="73" spans="1:37" x14ac:dyDescent="0.3">
      <c r="A73">
        <v>10</v>
      </c>
      <c r="C73" s="32" t="s">
        <v>130</v>
      </c>
      <c r="D73" s="32" t="s">
        <v>23</v>
      </c>
      <c r="E73" s="32"/>
      <c r="G73" s="32" t="s">
        <v>31</v>
      </c>
      <c r="H73" s="32" t="s">
        <v>25</v>
      </c>
      <c r="I73" s="4">
        <v>65</v>
      </c>
      <c r="J73" s="4">
        <v>2.5</v>
      </c>
      <c r="K73" s="4">
        <v>62.5</v>
      </c>
      <c r="L73" s="33">
        <v>1</v>
      </c>
      <c r="M73" s="4">
        <v>67.099999999999994</v>
      </c>
      <c r="N73" s="4">
        <v>3</v>
      </c>
      <c r="O73" s="4">
        <v>64.099999999999994</v>
      </c>
      <c r="P73" s="33">
        <v>1</v>
      </c>
      <c r="Q73" s="4">
        <v>66.8</v>
      </c>
      <c r="R73" s="4">
        <v>2.5</v>
      </c>
      <c r="S73" s="4">
        <v>64.3</v>
      </c>
      <c r="T73" s="33">
        <v>1</v>
      </c>
      <c r="U73" s="4">
        <v>61.2</v>
      </c>
      <c r="V73" s="4">
        <v>3</v>
      </c>
      <c r="W73" s="4">
        <v>58.2</v>
      </c>
      <c r="X73" s="33">
        <v>1</v>
      </c>
      <c r="Y73" s="4">
        <v>60.8</v>
      </c>
      <c r="Z73" s="4">
        <v>3</v>
      </c>
      <c r="AA73" s="4">
        <v>57.8</v>
      </c>
      <c r="AB73" s="33">
        <v>1</v>
      </c>
      <c r="AC73">
        <v>306.89999999999998</v>
      </c>
      <c r="AD73" s="4">
        <v>57.8</v>
      </c>
      <c r="AE73" s="4">
        <v>64.3</v>
      </c>
      <c r="AF73" s="4">
        <v>184.79999999999995</v>
      </c>
      <c r="AG73" s="4">
        <v>64.179999999999993</v>
      </c>
      <c r="AH73" s="4">
        <v>184.79999999999995</v>
      </c>
      <c r="AI73" s="33">
        <v>1</v>
      </c>
      <c r="AJ73" t="s">
        <v>26</v>
      </c>
      <c r="AK73" t="s">
        <v>166</v>
      </c>
    </row>
    <row r="74" spans="1:37" x14ac:dyDescent="0.3">
      <c r="A74">
        <v>9</v>
      </c>
      <c r="C74" s="32" t="s">
        <v>130</v>
      </c>
      <c r="D74" s="32" t="s">
        <v>23</v>
      </c>
      <c r="E74" s="32"/>
      <c r="G74" s="32" t="s">
        <v>73</v>
      </c>
      <c r="H74" s="32" t="s">
        <v>25</v>
      </c>
      <c r="I74" s="4">
        <v>51.5</v>
      </c>
      <c r="J74" s="4">
        <v>5.5</v>
      </c>
      <c r="K74" s="4">
        <v>46</v>
      </c>
      <c r="L74" s="33">
        <v>2</v>
      </c>
      <c r="M74" s="4">
        <v>63.2</v>
      </c>
      <c r="N74" s="4">
        <v>5.5</v>
      </c>
      <c r="O74" s="4">
        <v>57.7</v>
      </c>
      <c r="P74" s="33">
        <v>2</v>
      </c>
      <c r="Q74" s="4">
        <v>64.900000000000006</v>
      </c>
      <c r="R74" s="4">
        <v>5.5</v>
      </c>
      <c r="S74" s="4">
        <v>59.400000000000006</v>
      </c>
      <c r="T74" s="33">
        <v>2</v>
      </c>
      <c r="U74" s="4">
        <v>60.4</v>
      </c>
      <c r="V74" s="4">
        <v>4.5</v>
      </c>
      <c r="W74" s="4">
        <v>55.9</v>
      </c>
      <c r="X74" s="33">
        <v>2</v>
      </c>
      <c r="Y74" s="4">
        <v>59.5</v>
      </c>
      <c r="Z74" s="4">
        <v>5.5</v>
      </c>
      <c r="AA74" s="4">
        <v>54</v>
      </c>
      <c r="AB74" s="33">
        <v>2</v>
      </c>
      <c r="AC74">
        <v>273</v>
      </c>
      <c r="AD74" s="4">
        <v>46</v>
      </c>
      <c r="AE74" s="4">
        <v>59.400000000000006</v>
      </c>
      <c r="AF74" s="4">
        <v>167.6</v>
      </c>
      <c r="AG74" s="4">
        <v>59.9</v>
      </c>
      <c r="AH74" s="4">
        <v>167.6</v>
      </c>
      <c r="AI74" s="33">
        <v>2</v>
      </c>
      <c r="AJ74" t="s">
        <v>26</v>
      </c>
      <c r="AK74" t="s">
        <v>166</v>
      </c>
    </row>
    <row r="75" spans="1:37" x14ac:dyDescent="0.3">
      <c r="A75">
        <v>11</v>
      </c>
      <c r="C75" s="32" t="s">
        <v>130</v>
      </c>
      <c r="D75" s="32" t="s">
        <v>27</v>
      </c>
      <c r="E75" s="32"/>
      <c r="G75" s="32" t="s">
        <v>55</v>
      </c>
      <c r="H75" s="32" t="s">
        <v>25</v>
      </c>
      <c r="I75" s="4">
        <v>78.5</v>
      </c>
      <c r="J75" s="4">
        <v>3.5</v>
      </c>
      <c r="K75" s="4">
        <v>75</v>
      </c>
      <c r="L75" s="33">
        <v>1</v>
      </c>
      <c r="M75" s="4">
        <v>79</v>
      </c>
      <c r="N75" s="4">
        <v>3.5</v>
      </c>
      <c r="O75" s="4">
        <v>75.5</v>
      </c>
      <c r="P75" s="33">
        <v>2</v>
      </c>
      <c r="Q75" s="4">
        <v>80.599999999999994</v>
      </c>
      <c r="R75" s="4">
        <v>3.5</v>
      </c>
      <c r="S75" s="4">
        <v>77.099999999999994</v>
      </c>
      <c r="T75" s="33">
        <v>2</v>
      </c>
      <c r="U75" s="4">
        <v>75.599999999999994</v>
      </c>
      <c r="V75" s="4">
        <v>3.5</v>
      </c>
      <c r="W75" s="4">
        <v>72.099999999999994</v>
      </c>
      <c r="X75" s="33">
        <v>1</v>
      </c>
      <c r="Y75" s="4">
        <v>78.5</v>
      </c>
      <c r="Z75" s="4">
        <v>3.5</v>
      </c>
      <c r="AA75" s="4">
        <v>75</v>
      </c>
      <c r="AB75" s="33">
        <v>1</v>
      </c>
      <c r="AC75">
        <v>374.7</v>
      </c>
      <c r="AD75" s="4">
        <v>72.099999999999994</v>
      </c>
      <c r="AE75" s="4">
        <v>77.099999999999994</v>
      </c>
      <c r="AF75" s="4">
        <v>225.50000000000003</v>
      </c>
      <c r="AG75" s="4">
        <v>78.44</v>
      </c>
      <c r="AH75" s="4">
        <v>225.50000000000003</v>
      </c>
      <c r="AI75" s="33">
        <v>1</v>
      </c>
      <c r="AJ75" t="s">
        <v>26</v>
      </c>
      <c r="AK75" t="s">
        <v>167</v>
      </c>
    </row>
    <row r="76" spans="1:37" x14ac:dyDescent="0.3">
      <c r="A76">
        <v>12</v>
      </c>
      <c r="C76" s="32" t="s">
        <v>130</v>
      </c>
      <c r="D76" s="32" t="s">
        <v>27</v>
      </c>
      <c r="E76" s="32"/>
      <c r="G76" s="32" t="s">
        <v>31</v>
      </c>
      <c r="H76" s="32" t="s">
        <v>25</v>
      </c>
      <c r="I76" s="4">
        <v>76</v>
      </c>
      <c r="J76" s="4">
        <v>4</v>
      </c>
      <c r="K76" s="4">
        <v>72</v>
      </c>
      <c r="L76" s="33">
        <v>2</v>
      </c>
      <c r="M76" s="4">
        <v>80</v>
      </c>
      <c r="N76" s="4">
        <v>4</v>
      </c>
      <c r="O76" s="4">
        <v>76</v>
      </c>
      <c r="P76" s="33">
        <v>1</v>
      </c>
      <c r="Q76" s="4">
        <v>82</v>
      </c>
      <c r="R76" s="4">
        <v>4</v>
      </c>
      <c r="S76" s="4">
        <v>78</v>
      </c>
      <c r="T76" s="33">
        <v>1</v>
      </c>
      <c r="U76" s="4">
        <v>75.5</v>
      </c>
      <c r="V76" s="4">
        <v>4</v>
      </c>
      <c r="W76" s="4">
        <v>71.5</v>
      </c>
      <c r="X76" s="33">
        <v>2</v>
      </c>
      <c r="Y76" s="4">
        <v>73</v>
      </c>
      <c r="Z76" s="4">
        <v>4</v>
      </c>
      <c r="AA76" s="4">
        <v>69</v>
      </c>
      <c r="AB76" s="33">
        <v>2</v>
      </c>
      <c r="AC76">
        <v>366.5</v>
      </c>
      <c r="AD76" s="4">
        <v>69</v>
      </c>
      <c r="AE76" s="4">
        <v>78</v>
      </c>
      <c r="AF76" s="4">
        <v>219.5</v>
      </c>
      <c r="AG76" s="4">
        <v>77.3</v>
      </c>
      <c r="AH76" s="4">
        <v>219.5</v>
      </c>
      <c r="AI76" s="33">
        <v>2</v>
      </c>
      <c r="AJ76" t="s">
        <v>26</v>
      </c>
      <c r="AK76" t="s">
        <v>167</v>
      </c>
    </row>
    <row r="77" spans="1:37" x14ac:dyDescent="0.3">
      <c r="A77">
        <v>16</v>
      </c>
      <c r="C77" s="32" t="s">
        <v>131</v>
      </c>
      <c r="D77" s="32" t="s">
        <v>23</v>
      </c>
      <c r="E77" s="32"/>
      <c r="G77" s="32" t="s">
        <v>24</v>
      </c>
      <c r="H77" s="32" t="s">
        <v>25</v>
      </c>
      <c r="I77" s="4">
        <v>60</v>
      </c>
      <c r="J77" s="4">
        <v>3.5</v>
      </c>
      <c r="K77" s="4">
        <v>56.5</v>
      </c>
      <c r="L77" s="33">
        <v>1</v>
      </c>
      <c r="M77" s="4">
        <v>59.5</v>
      </c>
      <c r="N77" s="4">
        <v>3.5</v>
      </c>
      <c r="O77" s="4">
        <v>56</v>
      </c>
      <c r="P77" s="33">
        <v>1</v>
      </c>
      <c r="Q77" s="4">
        <v>60.3</v>
      </c>
      <c r="R77" s="4">
        <v>3.5</v>
      </c>
      <c r="S77" s="4">
        <v>56.8</v>
      </c>
      <c r="T77" s="33">
        <v>1</v>
      </c>
      <c r="U77" s="4">
        <v>65.7</v>
      </c>
      <c r="V77" s="4">
        <v>3.5</v>
      </c>
      <c r="W77" s="4">
        <v>62.2</v>
      </c>
      <c r="X77" s="33">
        <v>1</v>
      </c>
      <c r="Y77" s="4">
        <v>62</v>
      </c>
      <c r="Z77" s="4">
        <v>3.5</v>
      </c>
      <c r="AA77" s="4">
        <v>58.5</v>
      </c>
      <c r="AB77" s="33">
        <v>1</v>
      </c>
      <c r="AC77">
        <v>290</v>
      </c>
      <c r="AD77" s="4">
        <v>56</v>
      </c>
      <c r="AE77" s="4">
        <v>62.2</v>
      </c>
      <c r="AF77" s="4">
        <v>171.8</v>
      </c>
      <c r="AG77" s="4">
        <v>61.5</v>
      </c>
      <c r="AH77" s="4">
        <v>171.8</v>
      </c>
      <c r="AI77" s="33">
        <v>1</v>
      </c>
      <c r="AJ77" t="s">
        <v>26</v>
      </c>
      <c r="AK77" t="s">
        <v>168</v>
      </c>
    </row>
    <row r="78" spans="1:37" x14ac:dyDescent="0.3">
      <c r="A78">
        <v>17</v>
      </c>
      <c r="C78" s="32" t="s">
        <v>131</v>
      </c>
      <c r="D78" s="32" t="s">
        <v>27</v>
      </c>
      <c r="E78" s="32"/>
      <c r="G78" s="32" t="s">
        <v>60</v>
      </c>
      <c r="H78" s="32" t="s">
        <v>25</v>
      </c>
      <c r="I78" s="4">
        <v>75</v>
      </c>
      <c r="J78" s="4">
        <v>4.5</v>
      </c>
      <c r="K78" s="4">
        <v>70.5</v>
      </c>
      <c r="L78" s="33">
        <v>1</v>
      </c>
      <c r="M78" s="4">
        <v>74.5</v>
      </c>
      <c r="N78" s="4">
        <v>4.5</v>
      </c>
      <c r="O78" s="4">
        <v>70</v>
      </c>
      <c r="P78" s="33">
        <v>1</v>
      </c>
      <c r="Q78" s="4">
        <v>75.8</v>
      </c>
      <c r="R78" s="4">
        <v>4.5</v>
      </c>
      <c r="S78" s="4">
        <v>71.3</v>
      </c>
      <c r="T78" s="33">
        <v>1</v>
      </c>
      <c r="U78" s="4">
        <v>76.599999999999994</v>
      </c>
      <c r="V78" s="4">
        <v>4</v>
      </c>
      <c r="W78" s="4">
        <v>72.599999999999994</v>
      </c>
      <c r="X78" s="33">
        <v>1</v>
      </c>
      <c r="Y78" s="4">
        <v>73.5</v>
      </c>
      <c r="Z78" s="4">
        <v>4.5</v>
      </c>
      <c r="AA78" s="4">
        <v>69</v>
      </c>
      <c r="AB78" s="33">
        <v>1</v>
      </c>
      <c r="AC78">
        <v>353.4</v>
      </c>
      <c r="AD78" s="4">
        <v>69</v>
      </c>
      <c r="AE78" s="4">
        <v>72.599999999999994</v>
      </c>
      <c r="AF78" s="4">
        <v>211.79999999999998</v>
      </c>
      <c r="AG78" s="4">
        <v>75.08</v>
      </c>
      <c r="AH78" s="4">
        <v>211.79999999999998</v>
      </c>
      <c r="AI78" s="33">
        <v>1</v>
      </c>
      <c r="AJ78" t="s">
        <v>26</v>
      </c>
      <c r="AK78" t="s">
        <v>169</v>
      </c>
    </row>
    <row r="79" spans="1:37" x14ac:dyDescent="0.3">
      <c r="A79">
        <v>15</v>
      </c>
      <c r="C79" s="32" t="s">
        <v>132</v>
      </c>
      <c r="D79" s="32" t="s">
        <v>27</v>
      </c>
      <c r="E79" s="32"/>
      <c r="G79" s="32" t="s">
        <v>32</v>
      </c>
      <c r="H79" s="32" t="s">
        <v>25</v>
      </c>
      <c r="I79" s="4">
        <v>64</v>
      </c>
      <c r="J79" s="4">
        <v>0.5</v>
      </c>
      <c r="K79" s="4">
        <v>63.5</v>
      </c>
      <c r="L79" s="33">
        <v>1</v>
      </c>
      <c r="M79" s="4">
        <v>64.400000000000006</v>
      </c>
      <c r="N79" s="4">
        <v>0.5</v>
      </c>
      <c r="O79" s="4">
        <v>63.900000000000006</v>
      </c>
      <c r="P79" s="33">
        <v>1</v>
      </c>
      <c r="Q79" s="4">
        <v>63.6</v>
      </c>
      <c r="R79" s="4">
        <v>0.5</v>
      </c>
      <c r="S79" s="4">
        <v>63.1</v>
      </c>
      <c r="T79" s="33">
        <v>1</v>
      </c>
      <c r="U79" s="4">
        <v>65.900000000000006</v>
      </c>
      <c r="V79" s="4">
        <v>0.5</v>
      </c>
      <c r="W79" s="4">
        <v>65.400000000000006</v>
      </c>
      <c r="X79" s="33">
        <v>1</v>
      </c>
      <c r="Y79" s="4">
        <v>60</v>
      </c>
      <c r="Z79" s="4">
        <v>0.5</v>
      </c>
      <c r="AA79" s="4">
        <v>59.5</v>
      </c>
      <c r="AB79" s="33">
        <v>1</v>
      </c>
      <c r="AC79">
        <v>315.39999999999998</v>
      </c>
      <c r="AD79" s="4">
        <v>59.5</v>
      </c>
      <c r="AE79" s="4">
        <v>65.400000000000006</v>
      </c>
      <c r="AF79" s="4">
        <v>190.49999999999997</v>
      </c>
      <c r="AG79" s="4">
        <v>63.58</v>
      </c>
      <c r="AH79" s="4">
        <v>190.49999999999997</v>
      </c>
      <c r="AI79" s="33">
        <v>1</v>
      </c>
      <c r="AJ79" t="s">
        <v>26</v>
      </c>
      <c r="AK79" t="s">
        <v>170</v>
      </c>
    </row>
    <row r="80" spans="1:37" x14ac:dyDescent="0.3">
      <c r="A80">
        <v>56</v>
      </c>
      <c r="C80" s="32" t="s">
        <v>134</v>
      </c>
      <c r="D80" s="32" t="s">
        <v>23</v>
      </c>
      <c r="E80" s="32"/>
      <c r="G80" s="32" t="s">
        <v>24</v>
      </c>
      <c r="H80" s="32" t="s">
        <v>25</v>
      </c>
      <c r="I80" s="4">
        <v>63.5</v>
      </c>
      <c r="J80" s="4">
        <v>1.5</v>
      </c>
      <c r="K80" s="4">
        <v>62</v>
      </c>
      <c r="L80" s="33">
        <v>1</v>
      </c>
      <c r="M80" s="4">
        <v>64.5</v>
      </c>
      <c r="N80" s="4">
        <v>1.5</v>
      </c>
      <c r="O80" s="4">
        <v>63</v>
      </c>
      <c r="P80" s="33">
        <v>1</v>
      </c>
      <c r="Q80" s="4">
        <v>64.400000000000006</v>
      </c>
      <c r="R80" s="4">
        <v>1.5</v>
      </c>
      <c r="S80" s="4">
        <v>62.900000000000006</v>
      </c>
      <c r="T80" s="33">
        <v>1</v>
      </c>
      <c r="U80" s="4">
        <v>62.8</v>
      </c>
      <c r="V80" s="4">
        <v>1.5</v>
      </c>
      <c r="W80" s="4">
        <v>61.3</v>
      </c>
      <c r="X80" s="33">
        <v>1</v>
      </c>
      <c r="AA80" s="4">
        <v>0</v>
      </c>
      <c r="AB80" s="33">
        <v>1</v>
      </c>
      <c r="AC80">
        <v>249.2</v>
      </c>
      <c r="AD80" s="4">
        <v>61.3</v>
      </c>
      <c r="AE80" s="4">
        <v>63</v>
      </c>
      <c r="AF80" s="4">
        <v>124.89999999999998</v>
      </c>
      <c r="AG80" s="4">
        <v>63.8</v>
      </c>
      <c r="AH80" s="4">
        <v>124.89999999999998</v>
      </c>
      <c r="AI80" s="33">
        <v>1</v>
      </c>
      <c r="AJ80" t="s">
        <v>26</v>
      </c>
      <c r="AK80" t="s">
        <v>171</v>
      </c>
    </row>
    <row r="81" spans="1:37" x14ac:dyDescent="0.3">
      <c r="A81">
        <v>51</v>
      </c>
      <c r="C81" s="32" t="s">
        <v>133</v>
      </c>
      <c r="D81" s="32" t="s">
        <v>127</v>
      </c>
      <c r="E81" s="32"/>
      <c r="G81" s="32" t="s">
        <v>93</v>
      </c>
      <c r="H81" s="32" t="s">
        <v>25</v>
      </c>
      <c r="I81" s="4">
        <v>64.8</v>
      </c>
      <c r="J81" s="4">
        <v>0.5</v>
      </c>
      <c r="K81" s="4">
        <v>64.3</v>
      </c>
      <c r="L81" s="33">
        <v>1</v>
      </c>
      <c r="M81" s="4">
        <v>65.3</v>
      </c>
      <c r="N81" s="4">
        <v>0.5</v>
      </c>
      <c r="O81" s="4">
        <v>64.8</v>
      </c>
      <c r="P81" s="33">
        <v>1</v>
      </c>
      <c r="Q81" s="4">
        <v>65.400000000000006</v>
      </c>
      <c r="R81" s="4">
        <v>0.5</v>
      </c>
      <c r="S81" s="4">
        <v>64.900000000000006</v>
      </c>
      <c r="T81" s="33">
        <v>1</v>
      </c>
      <c r="U81" s="4">
        <v>58.1</v>
      </c>
      <c r="V81" s="4">
        <v>0.5</v>
      </c>
      <c r="W81" s="4">
        <v>57.6</v>
      </c>
      <c r="X81" s="33">
        <v>1</v>
      </c>
      <c r="Y81" s="4">
        <v>53</v>
      </c>
      <c r="Z81" s="4">
        <v>0.5</v>
      </c>
      <c r="AA81" s="4">
        <v>52.5</v>
      </c>
      <c r="AB81" s="33">
        <v>1</v>
      </c>
      <c r="AC81">
        <v>304.10000000000002</v>
      </c>
      <c r="AD81" s="4">
        <v>52.5</v>
      </c>
      <c r="AE81" s="4">
        <v>64.900000000000006</v>
      </c>
      <c r="AF81" s="4">
        <v>186.70000000000002</v>
      </c>
      <c r="AG81" s="4">
        <v>61.320000000000007</v>
      </c>
      <c r="AH81" s="4">
        <v>186.70000000000002</v>
      </c>
      <c r="AI81" s="33">
        <v>1</v>
      </c>
      <c r="AJ81" t="s">
        <v>26</v>
      </c>
      <c r="AK81" t="s">
        <v>172</v>
      </c>
    </row>
    <row r="82" spans="1:37" x14ac:dyDescent="0.3">
      <c r="A82">
        <v>60</v>
      </c>
      <c r="C82" s="32" t="s">
        <v>133</v>
      </c>
      <c r="D82" s="32" t="s">
        <v>30</v>
      </c>
      <c r="E82" s="32"/>
      <c r="G82" s="32" t="s">
        <v>67</v>
      </c>
      <c r="H82" s="32" t="s">
        <v>25</v>
      </c>
      <c r="I82" s="4">
        <v>71.5</v>
      </c>
      <c r="J82" s="4">
        <v>0</v>
      </c>
      <c r="K82" s="4">
        <v>71.5</v>
      </c>
      <c r="L82" s="33">
        <v>1</v>
      </c>
      <c r="M82" s="4">
        <v>68.5</v>
      </c>
      <c r="N82" s="4">
        <v>0</v>
      </c>
      <c r="O82" s="4">
        <v>68.5</v>
      </c>
      <c r="P82" s="33">
        <v>1</v>
      </c>
      <c r="Q82" s="4">
        <v>66.3</v>
      </c>
      <c r="R82" s="4">
        <v>0</v>
      </c>
      <c r="S82" s="4">
        <v>66.3</v>
      </c>
      <c r="T82" s="33">
        <v>1</v>
      </c>
      <c r="U82" s="4">
        <v>65.7</v>
      </c>
      <c r="V82" s="4">
        <v>0</v>
      </c>
      <c r="W82" s="4">
        <v>65.7</v>
      </c>
      <c r="X82" s="33">
        <v>1</v>
      </c>
      <c r="Y82" s="4">
        <v>64.599999999999994</v>
      </c>
      <c r="Z82" s="4">
        <v>0</v>
      </c>
      <c r="AA82" s="4">
        <v>64.599999999999994</v>
      </c>
      <c r="AB82" s="33">
        <v>1</v>
      </c>
      <c r="AC82">
        <v>336.6</v>
      </c>
      <c r="AD82" s="4">
        <v>64.599999999999994</v>
      </c>
      <c r="AE82" s="4">
        <v>71.5</v>
      </c>
      <c r="AF82" s="4">
        <v>200.5</v>
      </c>
      <c r="AG82" s="4">
        <v>67.320000000000007</v>
      </c>
      <c r="AH82" s="4">
        <v>200.5</v>
      </c>
      <c r="AI82" s="33">
        <v>1</v>
      </c>
      <c r="AJ82" t="s">
        <v>26</v>
      </c>
      <c r="AK82" t="s">
        <v>173</v>
      </c>
    </row>
    <row r="83" spans="1:37" x14ac:dyDescent="0.3">
      <c r="A83">
        <v>58</v>
      </c>
      <c r="C83" s="32" t="s">
        <v>133</v>
      </c>
      <c r="D83" s="32" t="s">
        <v>30</v>
      </c>
      <c r="E83" s="32"/>
      <c r="G83" s="32" t="s">
        <v>110</v>
      </c>
      <c r="H83" s="32" t="s">
        <v>28</v>
      </c>
      <c r="I83" s="4">
        <v>65.7</v>
      </c>
      <c r="J83" s="4">
        <v>0</v>
      </c>
      <c r="K83" s="4">
        <v>65.7</v>
      </c>
      <c r="L83" s="33">
        <v>2</v>
      </c>
      <c r="M83" s="4">
        <v>64.7</v>
      </c>
      <c r="N83" s="4">
        <v>0</v>
      </c>
      <c r="O83" s="4">
        <v>64.7</v>
      </c>
      <c r="P83" s="33">
        <v>2</v>
      </c>
      <c r="Q83" s="4">
        <v>66.099999999999994</v>
      </c>
      <c r="R83" s="4">
        <v>0</v>
      </c>
      <c r="S83" s="4">
        <v>66.099999999999994</v>
      </c>
      <c r="T83" s="33">
        <v>2</v>
      </c>
      <c r="U83" s="4">
        <v>65.2</v>
      </c>
      <c r="V83" s="4">
        <v>0</v>
      </c>
      <c r="W83" s="4">
        <v>65.2</v>
      </c>
      <c r="X83" s="33">
        <v>2</v>
      </c>
      <c r="Y83" s="4">
        <v>63</v>
      </c>
      <c r="Z83" s="4">
        <v>0</v>
      </c>
      <c r="AA83" s="4">
        <v>63</v>
      </c>
      <c r="AB83" s="33">
        <v>2</v>
      </c>
      <c r="AC83">
        <v>324.7</v>
      </c>
      <c r="AD83" s="4">
        <v>63</v>
      </c>
      <c r="AE83" s="4">
        <v>66.099999999999994</v>
      </c>
      <c r="AF83" s="4">
        <v>195.6</v>
      </c>
      <c r="AG83" s="4">
        <v>64.94</v>
      </c>
      <c r="AH83" s="4">
        <v>195.6</v>
      </c>
      <c r="AI83" s="33">
        <v>2</v>
      </c>
      <c r="AJ83" t="s">
        <v>26</v>
      </c>
      <c r="AK83" t="s">
        <v>173</v>
      </c>
    </row>
    <row r="84" spans="1:37" x14ac:dyDescent="0.3">
      <c r="A84">
        <v>59</v>
      </c>
      <c r="C84" s="32" t="s">
        <v>133</v>
      </c>
      <c r="D84" s="32" t="s">
        <v>30</v>
      </c>
      <c r="E84" s="32"/>
      <c r="G84" s="32" t="s">
        <v>83</v>
      </c>
      <c r="H84" s="32" t="s">
        <v>28</v>
      </c>
      <c r="I84" s="4">
        <v>61.5</v>
      </c>
      <c r="J84" s="4">
        <v>0</v>
      </c>
      <c r="K84" s="4">
        <v>61.5</v>
      </c>
      <c r="L84" s="33">
        <v>3</v>
      </c>
      <c r="M84" s="4">
        <v>61</v>
      </c>
      <c r="N84" s="4">
        <v>0</v>
      </c>
      <c r="O84" s="4">
        <v>61</v>
      </c>
      <c r="P84" s="33">
        <v>3</v>
      </c>
      <c r="Q84" s="4">
        <v>65.400000000000006</v>
      </c>
      <c r="R84" s="4">
        <v>0</v>
      </c>
      <c r="S84" s="4">
        <v>65.400000000000006</v>
      </c>
      <c r="T84" s="33">
        <v>3</v>
      </c>
      <c r="U84" s="4">
        <v>65.099999999999994</v>
      </c>
      <c r="V84" s="4">
        <v>0</v>
      </c>
      <c r="W84" s="4">
        <v>65.099999999999994</v>
      </c>
      <c r="X84" s="33">
        <v>3</v>
      </c>
      <c r="Y84" s="4">
        <v>61</v>
      </c>
      <c r="Z84" s="4">
        <v>0</v>
      </c>
      <c r="AA84" s="4">
        <v>61</v>
      </c>
      <c r="AB84" s="33">
        <v>3</v>
      </c>
      <c r="AC84">
        <v>314</v>
      </c>
      <c r="AD84" s="4">
        <v>61</v>
      </c>
      <c r="AE84" s="4">
        <v>65.400000000000006</v>
      </c>
      <c r="AF84" s="4">
        <v>187.6</v>
      </c>
      <c r="AG84" s="4">
        <v>62.8</v>
      </c>
      <c r="AH84" s="4">
        <v>187.6</v>
      </c>
      <c r="AI84" s="33">
        <v>3</v>
      </c>
      <c r="AJ84" t="s">
        <v>26</v>
      </c>
      <c r="AK84" t="s">
        <v>173</v>
      </c>
    </row>
    <row r="85" spans="1:37" x14ac:dyDescent="0.3">
      <c r="A85">
        <v>61</v>
      </c>
      <c r="C85" s="32" t="s">
        <v>133</v>
      </c>
      <c r="D85" s="32" t="s">
        <v>23</v>
      </c>
      <c r="E85" s="32"/>
      <c r="G85" s="32" t="s">
        <v>128</v>
      </c>
      <c r="H85" s="32" t="s">
        <v>28</v>
      </c>
      <c r="I85" s="4">
        <v>66.5</v>
      </c>
      <c r="J85" s="4">
        <v>0</v>
      </c>
      <c r="K85" s="4">
        <v>66.5</v>
      </c>
      <c r="L85" s="33">
        <v>1</v>
      </c>
      <c r="M85" s="4">
        <v>64.2</v>
      </c>
      <c r="N85" s="4">
        <v>0</v>
      </c>
      <c r="O85" s="4">
        <v>64.2</v>
      </c>
      <c r="P85" s="33">
        <v>1</v>
      </c>
      <c r="Q85" s="4">
        <v>64.900000000000006</v>
      </c>
      <c r="R85" s="4">
        <v>0</v>
      </c>
      <c r="S85" s="4">
        <v>64.900000000000006</v>
      </c>
      <c r="T85" s="33">
        <v>1</v>
      </c>
      <c r="U85" s="4">
        <v>66.400000000000006</v>
      </c>
      <c r="V85" s="4">
        <v>0</v>
      </c>
      <c r="W85" s="4">
        <v>66.400000000000006</v>
      </c>
      <c r="X85" s="33">
        <v>1</v>
      </c>
      <c r="Y85" s="4">
        <v>63.6</v>
      </c>
      <c r="Z85" s="4">
        <v>0</v>
      </c>
      <c r="AA85" s="4">
        <v>63.6</v>
      </c>
      <c r="AB85" s="33">
        <v>1</v>
      </c>
      <c r="AC85">
        <v>325.60000000000002</v>
      </c>
      <c r="AD85" s="4">
        <v>63.6</v>
      </c>
      <c r="AE85" s="4">
        <v>66.5</v>
      </c>
      <c r="AF85" s="4">
        <v>195.5</v>
      </c>
      <c r="AG85" s="4">
        <v>65.12</v>
      </c>
      <c r="AH85" s="4">
        <v>195.5</v>
      </c>
      <c r="AI85" s="33">
        <v>1</v>
      </c>
      <c r="AJ85" t="s">
        <v>26</v>
      </c>
      <c r="AK85" t="s">
        <v>174</v>
      </c>
    </row>
    <row r="86" spans="1:37" x14ac:dyDescent="0.3">
      <c r="A86">
        <v>62</v>
      </c>
      <c r="C86" s="32" t="s">
        <v>133</v>
      </c>
      <c r="D86" s="32" t="s">
        <v>27</v>
      </c>
      <c r="E86" s="32"/>
      <c r="G86" s="32" t="s">
        <v>32</v>
      </c>
      <c r="H86" s="32" t="s">
        <v>25</v>
      </c>
      <c r="I86" s="4">
        <v>71.400000000000006</v>
      </c>
      <c r="J86" s="4">
        <v>0.5</v>
      </c>
      <c r="K86" s="4">
        <v>70.900000000000006</v>
      </c>
      <c r="L86" s="33">
        <v>1</v>
      </c>
      <c r="M86" s="4">
        <v>69.900000000000006</v>
      </c>
      <c r="N86" s="4">
        <v>0.5</v>
      </c>
      <c r="O86" s="4">
        <v>69.400000000000006</v>
      </c>
      <c r="P86" s="33">
        <v>1</v>
      </c>
      <c r="Q86" s="4">
        <v>66.8</v>
      </c>
      <c r="R86" s="4">
        <v>0.5</v>
      </c>
      <c r="S86" s="4">
        <v>66.3</v>
      </c>
      <c r="T86" s="33">
        <v>1</v>
      </c>
      <c r="U86" s="4">
        <v>65.8</v>
      </c>
      <c r="V86" s="4">
        <v>0.5</v>
      </c>
      <c r="W86" s="4">
        <v>65.3</v>
      </c>
      <c r="X86" s="33">
        <v>1</v>
      </c>
      <c r="Y86" s="4">
        <v>63.7</v>
      </c>
      <c r="Z86" s="4">
        <v>0.5</v>
      </c>
      <c r="AA86" s="4">
        <v>63.2</v>
      </c>
      <c r="AB86" s="33">
        <v>1</v>
      </c>
      <c r="AC86">
        <v>335.1</v>
      </c>
      <c r="AD86" s="4">
        <v>63.2</v>
      </c>
      <c r="AE86" s="4">
        <v>70.900000000000006</v>
      </c>
      <c r="AF86" s="4">
        <v>201.00000000000003</v>
      </c>
      <c r="AG86" s="4">
        <v>67.52000000000001</v>
      </c>
      <c r="AH86" s="4">
        <v>201.00000000000003</v>
      </c>
      <c r="AI86" s="33">
        <v>1</v>
      </c>
      <c r="AJ86" t="s">
        <v>26</v>
      </c>
      <c r="AK86" t="s">
        <v>175</v>
      </c>
    </row>
    <row r="87" spans="1:37" x14ac:dyDescent="0.3">
      <c r="A87">
        <v>52</v>
      </c>
      <c r="C87" s="32" t="s">
        <v>135</v>
      </c>
      <c r="D87" s="32" t="s">
        <v>127</v>
      </c>
      <c r="E87" s="32"/>
      <c r="G87" s="32" t="s">
        <v>126</v>
      </c>
      <c r="H87" s="32" t="s">
        <v>28</v>
      </c>
      <c r="I87" s="4">
        <v>60.7</v>
      </c>
      <c r="J87" s="4">
        <v>0.5</v>
      </c>
      <c r="K87" s="4">
        <v>60.2</v>
      </c>
      <c r="L87" s="33">
        <v>1</v>
      </c>
      <c r="M87" s="4">
        <v>60.5</v>
      </c>
      <c r="N87" s="4">
        <v>0.5</v>
      </c>
      <c r="O87" s="4">
        <v>60</v>
      </c>
      <c r="P87" s="33">
        <v>1</v>
      </c>
      <c r="Q87" s="4">
        <v>60.7</v>
      </c>
      <c r="R87" s="4">
        <v>0.5</v>
      </c>
      <c r="S87" s="4">
        <v>60.2</v>
      </c>
      <c r="T87" s="33">
        <v>1</v>
      </c>
      <c r="U87" s="4">
        <v>58.5</v>
      </c>
      <c r="V87" s="4">
        <v>0.5</v>
      </c>
      <c r="W87" s="4">
        <v>58</v>
      </c>
      <c r="X87" s="33">
        <v>1</v>
      </c>
      <c r="Y87" s="4">
        <v>53</v>
      </c>
      <c r="Z87" s="4">
        <v>0.5</v>
      </c>
      <c r="AA87" s="4">
        <v>52.5</v>
      </c>
      <c r="AB87" s="33">
        <v>1</v>
      </c>
      <c r="AC87">
        <v>290.89999999999998</v>
      </c>
      <c r="AD87" s="4">
        <v>52.5</v>
      </c>
      <c r="AE87" s="4">
        <v>60.2</v>
      </c>
      <c r="AF87" s="4">
        <v>178.2</v>
      </c>
      <c r="AG87" s="4">
        <v>58.679999999999993</v>
      </c>
      <c r="AH87" s="4">
        <v>178.2</v>
      </c>
      <c r="AI87" s="33">
        <v>1</v>
      </c>
      <c r="AJ87" t="s">
        <v>26</v>
      </c>
      <c r="AK87" t="s">
        <v>176</v>
      </c>
    </row>
    <row r="88" spans="1:37" x14ac:dyDescent="0.3">
      <c r="A88">
        <v>57</v>
      </c>
      <c r="C88" s="32" t="s">
        <v>135</v>
      </c>
      <c r="D88" s="32" t="s">
        <v>30</v>
      </c>
      <c r="E88" s="32"/>
      <c r="G88" s="32" t="s">
        <v>93</v>
      </c>
      <c r="H88" s="32" t="s">
        <v>25</v>
      </c>
      <c r="I88" s="4">
        <v>63.1</v>
      </c>
      <c r="J88" s="4">
        <v>4.5</v>
      </c>
      <c r="K88" s="4">
        <v>58.6</v>
      </c>
      <c r="L88" s="33">
        <v>1</v>
      </c>
      <c r="M88" s="4">
        <v>61.7</v>
      </c>
      <c r="N88" s="4">
        <v>4.5</v>
      </c>
      <c r="O88" s="4">
        <v>57.2</v>
      </c>
      <c r="P88" s="33">
        <v>1</v>
      </c>
      <c r="Q88" s="4">
        <v>66.599999999999994</v>
      </c>
      <c r="R88" s="4">
        <v>4.5</v>
      </c>
      <c r="S88" s="4">
        <v>62.099999999999994</v>
      </c>
      <c r="T88" s="33">
        <v>1</v>
      </c>
      <c r="U88" s="4">
        <v>61.7</v>
      </c>
      <c r="V88" s="4">
        <v>4.5</v>
      </c>
      <c r="W88" s="4">
        <v>57.2</v>
      </c>
      <c r="X88" s="33">
        <v>1</v>
      </c>
      <c r="Y88" s="4">
        <v>54</v>
      </c>
      <c r="Z88" s="4">
        <v>5</v>
      </c>
      <c r="AA88" s="4">
        <v>49</v>
      </c>
      <c r="AB88" s="33">
        <v>1</v>
      </c>
      <c r="AC88">
        <v>284.10000000000002</v>
      </c>
      <c r="AD88" s="4">
        <v>49</v>
      </c>
      <c r="AE88" s="4">
        <v>62.099999999999994</v>
      </c>
      <c r="AF88" s="4">
        <v>173.00000000000003</v>
      </c>
      <c r="AG88" s="4">
        <v>61.42</v>
      </c>
      <c r="AH88" s="4">
        <v>173.00000000000003</v>
      </c>
      <c r="AI88" s="33">
        <v>1</v>
      </c>
      <c r="AJ88" t="s">
        <v>26</v>
      </c>
      <c r="AK88" t="s">
        <v>177</v>
      </c>
    </row>
    <row r="89" spans="1:37" x14ac:dyDescent="0.3">
      <c r="A89">
        <v>53</v>
      </c>
      <c r="C89" s="32" t="s">
        <v>135</v>
      </c>
      <c r="D89" s="32" t="s">
        <v>23</v>
      </c>
      <c r="E89" s="32"/>
      <c r="G89" s="32" t="s">
        <v>91</v>
      </c>
      <c r="H89" s="32" t="s">
        <v>28</v>
      </c>
      <c r="I89" s="4">
        <v>92</v>
      </c>
      <c r="J89" s="4">
        <v>3</v>
      </c>
      <c r="K89" s="4">
        <v>89</v>
      </c>
      <c r="L89" s="33">
        <v>1</v>
      </c>
      <c r="M89" s="4">
        <v>91.8</v>
      </c>
      <c r="N89" s="4">
        <v>3</v>
      </c>
      <c r="O89" s="4">
        <v>88.8</v>
      </c>
      <c r="P89" s="33">
        <v>1</v>
      </c>
      <c r="Q89" s="4">
        <v>89.5</v>
      </c>
      <c r="R89" s="4">
        <v>3</v>
      </c>
      <c r="S89" s="4">
        <v>86.5</v>
      </c>
      <c r="T89" s="33">
        <v>1</v>
      </c>
      <c r="U89" s="4">
        <v>88</v>
      </c>
      <c r="V89" s="4">
        <v>3</v>
      </c>
      <c r="W89" s="4">
        <v>85</v>
      </c>
      <c r="X89" s="33">
        <v>1</v>
      </c>
      <c r="Y89" s="4">
        <v>86</v>
      </c>
      <c r="Z89" s="4">
        <v>3</v>
      </c>
      <c r="AA89" s="4">
        <v>83</v>
      </c>
      <c r="AB89" s="33">
        <v>1</v>
      </c>
      <c r="AC89">
        <v>432.3</v>
      </c>
      <c r="AD89" s="4">
        <v>83</v>
      </c>
      <c r="AE89" s="4">
        <v>89</v>
      </c>
      <c r="AF89" s="4">
        <v>260.3</v>
      </c>
      <c r="AG89" s="4">
        <v>89.460000000000008</v>
      </c>
      <c r="AH89" s="4">
        <v>260.3</v>
      </c>
      <c r="AI89" s="33">
        <v>1</v>
      </c>
      <c r="AJ89" t="s">
        <v>26</v>
      </c>
      <c r="AK89" t="s">
        <v>178</v>
      </c>
    </row>
    <row r="90" spans="1:37" x14ac:dyDescent="0.3">
      <c r="A90">
        <v>54</v>
      </c>
      <c r="C90" s="32" t="s">
        <v>135</v>
      </c>
      <c r="D90" s="32" t="s">
        <v>23</v>
      </c>
      <c r="E90" s="32"/>
      <c r="G90" s="32" t="s">
        <v>93</v>
      </c>
      <c r="H90" s="32" t="s">
        <v>25</v>
      </c>
      <c r="I90" s="4">
        <v>83</v>
      </c>
      <c r="J90" s="4">
        <v>10</v>
      </c>
      <c r="K90" s="4">
        <v>73</v>
      </c>
      <c r="L90" s="33">
        <v>2</v>
      </c>
      <c r="M90" s="4">
        <v>86</v>
      </c>
      <c r="N90" s="4">
        <v>10</v>
      </c>
      <c r="O90" s="4">
        <v>76</v>
      </c>
      <c r="P90" s="33">
        <v>2</v>
      </c>
      <c r="Q90" s="4">
        <v>87.2</v>
      </c>
      <c r="R90" s="4">
        <v>10</v>
      </c>
      <c r="S90" s="4">
        <v>77.2</v>
      </c>
      <c r="T90" s="33">
        <v>2</v>
      </c>
      <c r="U90" s="4">
        <v>81.2</v>
      </c>
      <c r="V90" s="4">
        <v>10</v>
      </c>
      <c r="W90" s="4">
        <v>71.2</v>
      </c>
      <c r="X90" s="33">
        <v>2</v>
      </c>
      <c r="Y90" s="4">
        <v>72.5</v>
      </c>
      <c r="Z90" s="4">
        <v>10</v>
      </c>
      <c r="AA90" s="4">
        <v>62.5</v>
      </c>
      <c r="AB90" s="33">
        <v>2</v>
      </c>
      <c r="AC90">
        <v>359.9</v>
      </c>
      <c r="AD90" s="4">
        <v>62.5</v>
      </c>
      <c r="AE90" s="4">
        <v>77.2</v>
      </c>
      <c r="AF90" s="4">
        <v>220.2</v>
      </c>
      <c r="AG90" s="4">
        <v>81.97999999999999</v>
      </c>
      <c r="AH90" s="4">
        <v>220.2</v>
      </c>
      <c r="AI90" s="33">
        <v>2</v>
      </c>
      <c r="AJ90" t="s">
        <v>26</v>
      </c>
      <c r="AK90" t="s">
        <v>178</v>
      </c>
    </row>
    <row r="91" spans="1:37" x14ac:dyDescent="0.3">
      <c r="A91">
        <v>55</v>
      </c>
      <c r="C91" s="32" t="s">
        <v>135</v>
      </c>
      <c r="D91" s="32" t="s">
        <v>27</v>
      </c>
      <c r="E91" s="32"/>
      <c r="G91" s="32" t="s">
        <v>93</v>
      </c>
      <c r="H91" s="32" t="s">
        <v>25</v>
      </c>
      <c r="I91" s="4">
        <v>91.5</v>
      </c>
      <c r="J91" s="4">
        <v>2.5</v>
      </c>
      <c r="K91" s="4">
        <v>89</v>
      </c>
      <c r="L91" s="33">
        <v>1</v>
      </c>
      <c r="M91" s="4">
        <v>92</v>
      </c>
      <c r="N91" s="4">
        <v>2.5</v>
      </c>
      <c r="O91" s="4">
        <v>89.5</v>
      </c>
      <c r="P91" s="33">
        <v>1</v>
      </c>
      <c r="Q91" s="4">
        <v>92.8</v>
      </c>
      <c r="R91" s="4">
        <v>2.5</v>
      </c>
      <c r="S91" s="4">
        <v>90.3</v>
      </c>
      <c r="T91" s="33">
        <v>1</v>
      </c>
      <c r="U91" s="4">
        <v>83.6</v>
      </c>
      <c r="V91" s="4">
        <v>2.5</v>
      </c>
      <c r="W91" s="4">
        <v>81.099999999999994</v>
      </c>
      <c r="X91" s="33">
        <v>1</v>
      </c>
      <c r="Y91" s="4">
        <v>82.8</v>
      </c>
      <c r="Z91" s="4">
        <v>2.5</v>
      </c>
      <c r="AA91" s="4">
        <v>80.3</v>
      </c>
      <c r="AB91" s="33">
        <v>1</v>
      </c>
      <c r="AC91">
        <v>430.2</v>
      </c>
      <c r="AD91" s="4">
        <v>80.3</v>
      </c>
      <c r="AE91" s="4">
        <v>90.3</v>
      </c>
      <c r="AF91" s="4">
        <v>259.59999999999997</v>
      </c>
      <c r="AG91" s="4">
        <v>88.539999999999992</v>
      </c>
      <c r="AH91" s="4">
        <v>259.59999999999997</v>
      </c>
      <c r="AI91" s="33">
        <v>1</v>
      </c>
      <c r="AJ91" t="s">
        <v>26</v>
      </c>
      <c r="AK91" t="s">
        <v>179</v>
      </c>
    </row>
    <row r="92" spans="1:37" x14ac:dyDescent="0.3">
      <c r="A92">
        <v>92</v>
      </c>
      <c r="C92" s="32" t="s">
        <v>135</v>
      </c>
      <c r="D92" s="32" t="s">
        <v>29</v>
      </c>
      <c r="E92" s="32"/>
      <c r="G92" s="32" t="s">
        <v>93</v>
      </c>
      <c r="H92" s="32" t="s">
        <v>25</v>
      </c>
      <c r="I92" s="4">
        <v>87.7</v>
      </c>
      <c r="J92" s="4">
        <v>7.5</v>
      </c>
      <c r="K92" s="4">
        <v>80.2</v>
      </c>
      <c r="L92" s="33">
        <v>1</v>
      </c>
      <c r="M92" s="4">
        <v>85</v>
      </c>
      <c r="N92" s="4">
        <v>7.5</v>
      </c>
      <c r="O92" s="4">
        <v>77.5</v>
      </c>
      <c r="P92" s="33">
        <v>1</v>
      </c>
      <c r="Q92" s="4">
        <v>85.8</v>
      </c>
      <c r="R92" s="4">
        <v>7.5</v>
      </c>
      <c r="S92" s="4">
        <v>78.3</v>
      </c>
      <c r="T92" s="33">
        <v>1</v>
      </c>
      <c r="U92" s="4">
        <v>86.9</v>
      </c>
      <c r="V92" s="4">
        <v>7.5</v>
      </c>
      <c r="W92" s="4">
        <v>79.400000000000006</v>
      </c>
      <c r="X92" s="33">
        <v>1</v>
      </c>
      <c r="Y92" s="4">
        <v>88</v>
      </c>
      <c r="Z92" s="4">
        <v>7.5</v>
      </c>
      <c r="AA92" s="4">
        <v>80.5</v>
      </c>
      <c r="AB92" s="33">
        <v>1</v>
      </c>
      <c r="AC92">
        <v>395.9</v>
      </c>
      <c r="AD92" s="4">
        <v>77.5</v>
      </c>
      <c r="AE92" s="4">
        <v>80.5</v>
      </c>
      <c r="AF92" s="4">
        <v>237.89999999999998</v>
      </c>
      <c r="AG92" s="4">
        <v>86.679999999999993</v>
      </c>
      <c r="AH92" s="4">
        <v>237.89999999999998</v>
      </c>
      <c r="AI92" s="33">
        <v>1</v>
      </c>
      <c r="AJ92" t="s">
        <v>26</v>
      </c>
      <c r="AK92" t="s">
        <v>180</v>
      </c>
    </row>
    <row r="93" spans="1:37" x14ac:dyDescent="0.3">
      <c r="A93">
        <v>85</v>
      </c>
      <c r="C93" s="32" t="s">
        <v>136</v>
      </c>
      <c r="D93" s="32"/>
      <c r="E93" s="32"/>
      <c r="G93" s="32" t="s">
        <v>110</v>
      </c>
      <c r="H93" s="32" t="s">
        <v>28</v>
      </c>
      <c r="I93" s="4">
        <v>64.400000000000006</v>
      </c>
      <c r="J93" s="4">
        <v>0</v>
      </c>
      <c r="K93" s="4">
        <v>64.400000000000006</v>
      </c>
      <c r="L93" s="33">
        <v>1</v>
      </c>
      <c r="M93" s="4">
        <v>64</v>
      </c>
      <c r="N93" s="4">
        <v>0</v>
      </c>
      <c r="O93" s="4">
        <v>64</v>
      </c>
      <c r="P93" s="33">
        <v>1</v>
      </c>
      <c r="Q93" s="4">
        <v>65.400000000000006</v>
      </c>
      <c r="R93" s="4">
        <v>0</v>
      </c>
      <c r="S93" s="4">
        <v>65.400000000000006</v>
      </c>
      <c r="T93" s="33">
        <v>1</v>
      </c>
      <c r="U93" s="4">
        <v>66.3</v>
      </c>
      <c r="V93" s="4">
        <v>0</v>
      </c>
      <c r="W93" s="4">
        <v>66.3</v>
      </c>
      <c r="X93" s="33">
        <v>1</v>
      </c>
      <c r="Y93" s="4">
        <v>65.5</v>
      </c>
      <c r="Z93" s="4">
        <v>0</v>
      </c>
      <c r="AA93" s="4">
        <v>65.5</v>
      </c>
      <c r="AB93" s="33">
        <v>1</v>
      </c>
      <c r="AC93">
        <v>325.60000000000002</v>
      </c>
      <c r="AD93" s="4">
        <v>64</v>
      </c>
      <c r="AE93" s="4">
        <v>66.3</v>
      </c>
      <c r="AF93" s="4">
        <v>195.3</v>
      </c>
      <c r="AG93" s="4">
        <v>65.12</v>
      </c>
      <c r="AH93" s="4">
        <v>195.3</v>
      </c>
      <c r="AI93" s="33">
        <v>1</v>
      </c>
      <c r="AJ93" t="s">
        <v>26</v>
      </c>
      <c r="AK93" t="s">
        <v>181</v>
      </c>
    </row>
  </sheetData>
  <phoneticPr fontId="8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3980-61AE-4699-8F55-BF4CA5CB1C7B}">
  <dimension ref="A1:BC3"/>
  <sheetViews>
    <sheetView zoomScale="80" zoomScaleNormal="80" workbookViewId="0">
      <pane xSplit="8" topLeftCell="I1" activePane="topRight" state="frozen"/>
      <selection activeCell="R26" sqref="R26"/>
      <selection pane="topRight" activeCell="AJ1" sqref="AJ1:AJ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6.44140625" style="29" customWidth="1"/>
    <col min="4" max="4" width="12.5546875" style="30" customWidth="1"/>
    <col min="5" max="5" width="16.33203125" style="30" hidden="1" customWidth="1"/>
    <col min="6" max="6" width="15.33203125" style="19" customWidth="1"/>
    <col min="7" max="7" width="41.44140625" style="19" customWidth="1"/>
    <col min="8" max="8" width="14" style="19" customWidth="1"/>
    <col min="9" max="12" width="9.109375" style="19" customWidth="1"/>
    <col min="13" max="16" width="9.109375" style="19" hidden="1" customWidth="1"/>
    <col min="17" max="20" width="9.109375" style="19" customWidth="1"/>
    <col min="21" max="28" width="9.109375" style="19" hidden="1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9.109375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18</v>
      </c>
      <c r="B2" s="17">
        <v>1</v>
      </c>
      <c r="C2" s="17" t="s">
        <v>81</v>
      </c>
      <c r="D2" s="17" t="s">
        <v>30</v>
      </c>
      <c r="E2" s="17"/>
      <c r="F2" s="17" t="s">
        <v>82</v>
      </c>
      <c r="G2" s="17" t="s">
        <v>83</v>
      </c>
      <c r="H2" s="19" t="s">
        <v>28</v>
      </c>
      <c r="I2" s="20">
        <v>23</v>
      </c>
      <c r="J2" s="21">
        <v>1</v>
      </c>
      <c r="K2" s="22">
        <f>Majorette_Solo_AccessoriesSolo_Children[[#This Row],[Judge 1
Tamara Beljak]]-J2</f>
        <v>22</v>
      </c>
      <c r="L2" s="23">
        <f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Row],[Category]],Majorette_Solo_AccessoriesSolo_Children[J1 TOTAL],"&gt;"&amp;Majorette_Solo_AccessoriesSolo_Children[[#This Row],[J1 TOTAL]])+1</f>
        <v>1</v>
      </c>
      <c r="M2" s="20"/>
      <c r="N2" s="21"/>
      <c r="O2" s="22">
        <f>Majorette_Solo_AccessoriesSolo_Children[[#This Row],[Judge 2
Tihomir Bendelja]]-Majorette_Solo_AccessoriesSolo_Children[[#This Row],[J2 (-)]]</f>
        <v>0</v>
      </c>
      <c r="P2" s="23">
        <f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Row],[Category]],Majorette_Solo_AccessoriesSolo_Children[J2 TOTAL],"&gt;"&amp;Majorette_Solo_AccessoriesSolo_Children[[#This Row],[J2 TOTAL]])+1</f>
        <v>1</v>
      </c>
      <c r="Q2" s="20">
        <v>24.1</v>
      </c>
      <c r="R2" s="21">
        <v>1</v>
      </c>
      <c r="S2" s="22">
        <f>Majorette_Solo_AccessoriesSolo_Children[[#This Row],[Judge 3
Tea Softić]]-R2</f>
        <v>23.1</v>
      </c>
      <c r="T2" s="23">
        <f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Row],[Category]],Majorette_Solo_AccessoriesSolo_Children[J3 TOTAL],"&gt;"&amp;Majorette_Solo_AccessoriesSolo_Children[[#This Row],[J3 TOTAL]])+1</f>
        <v>1</v>
      </c>
      <c r="U2" s="20"/>
      <c r="V2" s="21"/>
      <c r="W2" s="22">
        <f>Majorette_Solo_AccessoriesSolo_Children[[#This Row],[Judge 4
Bernard Barač]]-V2</f>
        <v>0</v>
      </c>
      <c r="X2" s="23">
        <f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Row],[Category]],Majorette_Solo_AccessoriesSolo_Children[J4 TOTAL],"&gt;"&amp;Majorette_Solo_AccessoriesSolo_Children[[#This Row],[J4 TOTAL]])+1</f>
        <v>1</v>
      </c>
      <c r="Y2" s="20"/>
      <c r="Z2" s="21"/>
      <c r="AA2" s="22">
        <f>Majorette_Solo_AccessoriesSolo_Children[[#This Row],[Judge 5
Barbara Novina]]-Z2</f>
        <v>0</v>
      </c>
      <c r="AB2" s="23">
        <f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Row],[Category]],Majorette_Solo_AccessoriesSolo_Children[J5 TOTAL],"&gt;"&amp;Majorette_Solo_AccessoriesSolo_Children[[#This Row],[J5 TOTAL]])+1</f>
        <v>1</v>
      </c>
      <c r="AC2" s="24">
        <f>SUM(Majorette_Solo_AccessoriesSolo_Children[[#This Row],[J1 TOTAL]]+Majorette_Solo_AccessoriesSolo_Children[[#This Row],[J2 TOTAL]]+Majorette_Solo_AccessoriesSolo_Children[[#This Row],[J3 TOTAL]]+Majorette_Solo_AccessoriesSolo_Children[[#This Row],[J4 TOTAL]])+Majorette_Solo_AccessoriesSolo_Children[[#This Row],[J5 TOTAL]]</f>
        <v>45.1</v>
      </c>
      <c r="AD2" s="24"/>
      <c r="AE2" s="24"/>
      <c r="AF2" s="24">
        <f>SUM(Majorette_Solo_AccessoriesSolo_Children[[#This Row],[Total]]-Majorette_Solo_AccessoriesSolo_Children[[#This Row],[Low]]-Majorette_Solo_AccessoriesSolo_Children[[#This Row],[High]])</f>
        <v>45.1</v>
      </c>
      <c r="AG2" s="24">
        <f>AVERAGE(I2,M2,Q2,U2,Y2)</f>
        <v>23.55</v>
      </c>
      <c r="AH2" s="25">
        <f>Majorette_Solo_AccessoriesSolo_Children[[#This Row],[Final Total]]</f>
        <v>45.1</v>
      </c>
      <c r="AI2" s="28">
        <f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Row],[Category]],Majorette_Solo_AccessoriesSolo_Children[FINAL SCORE],"&gt;"&amp;Majorette_Solo_AccessoriesSolo_Children[[#This Row],[FINAL SCORE]])+1</f>
        <v>1</v>
      </c>
      <c r="AJ2" s="16" t="s">
        <v>33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20</v>
      </c>
      <c r="B3" s="17">
        <v>1</v>
      </c>
      <c r="C3" s="17" t="s">
        <v>81</v>
      </c>
      <c r="D3" s="17" t="s">
        <v>30</v>
      </c>
      <c r="E3" s="18"/>
      <c r="F3" s="17" t="s">
        <v>84</v>
      </c>
      <c r="G3" s="17" t="s">
        <v>83</v>
      </c>
      <c r="H3" s="19" t="s">
        <v>28</v>
      </c>
      <c r="I3" s="20">
        <v>21</v>
      </c>
      <c r="J3" s="21">
        <v>1</v>
      </c>
      <c r="K3" s="22">
        <f>Majorette_Solo_AccessoriesSolo_Children[[#This Row],[Judge 1
Tamara Beljak]]-J3</f>
        <v>20</v>
      </c>
      <c r="L3" s="23">
        <f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Row],[Category]],Majorette_Solo_AccessoriesSolo_Children[J1 TOTAL],"&gt;"&amp;Majorette_Solo_AccessoriesSolo_Children[[#This Row],[J1 TOTAL]])+1</f>
        <v>2</v>
      </c>
      <c r="M3" s="20"/>
      <c r="N3" s="21"/>
      <c r="O3" s="22">
        <f>Majorette_Solo_AccessoriesSolo_Children[[#This Row],[Judge 2
Tihomir Bendelja]]-Majorette_Solo_AccessoriesSolo_Children[[#This Row],[J2 (-)]]</f>
        <v>0</v>
      </c>
      <c r="P3" s="23">
        <f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Row],[Category]],Majorette_Solo_AccessoriesSolo_Children[J2 TOTAL],"&gt;"&amp;Majorette_Solo_AccessoriesSolo_Children[[#This Row],[J2 TOTAL]])+1</f>
        <v>1</v>
      </c>
      <c r="Q3" s="20">
        <v>23.9</v>
      </c>
      <c r="R3" s="21">
        <v>1</v>
      </c>
      <c r="S3" s="22">
        <f>Majorette_Solo_AccessoriesSolo_Children[[#This Row],[Judge 3
Tea Softić]]-R3</f>
        <v>22.9</v>
      </c>
      <c r="T3" s="23">
        <f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Row],[Category]],Majorette_Solo_AccessoriesSolo_Children[J3 TOTAL],"&gt;"&amp;Majorette_Solo_AccessoriesSolo_Children[[#This Row],[J3 TOTAL]])+1</f>
        <v>2</v>
      </c>
      <c r="U3" s="20"/>
      <c r="V3" s="21"/>
      <c r="W3" s="22">
        <f>Majorette_Solo_AccessoriesSolo_Children[[#This Row],[Judge 4
Bernard Barač]]-V3</f>
        <v>0</v>
      </c>
      <c r="X3" s="23">
        <f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Row],[Category]],Majorette_Solo_AccessoriesSolo_Children[J4 TOTAL],"&gt;"&amp;Majorette_Solo_AccessoriesSolo_Children[[#This Row],[J4 TOTAL]])+1</f>
        <v>1</v>
      </c>
      <c r="Y3" s="20"/>
      <c r="Z3" s="21"/>
      <c r="AA3" s="22">
        <f>Majorette_Solo_AccessoriesSolo_Children[[#This Row],[Judge 5
Barbara Novina]]-Z3</f>
        <v>0</v>
      </c>
      <c r="AB3" s="23">
        <f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Row],[Category]],Majorette_Solo_AccessoriesSolo_Children[J5 TOTAL],"&gt;"&amp;Majorette_Solo_AccessoriesSolo_Children[[#This Row],[J5 TOTAL]])+1</f>
        <v>1</v>
      </c>
      <c r="AC3" s="24">
        <f>SUM(Majorette_Solo_AccessoriesSolo_Children[[#This Row],[J1 TOTAL]]+Majorette_Solo_AccessoriesSolo_Children[[#This Row],[J2 TOTAL]]+Majorette_Solo_AccessoriesSolo_Children[[#This Row],[J3 TOTAL]]+Majorette_Solo_AccessoriesSolo_Children[[#This Row],[J4 TOTAL]])+Majorette_Solo_AccessoriesSolo_Children[[#This Row],[J5 TOTAL]]</f>
        <v>42.9</v>
      </c>
      <c r="AD3" s="24"/>
      <c r="AE3" s="24"/>
      <c r="AF3" s="24">
        <f>SUM(Majorette_Solo_AccessoriesSolo_Children[[#This Row],[Total]]-Majorette_Solo_AccessoriesSolo_Children[[#This Row],[Low]]-Majorette_Solo_AccessoriesSolo_Children[[#This Row],[High]])</f>
        <v>42.9</v>
      </c>
      <c r="AG3" s="24">
        <f>AVERAGE(I3,M3,Q3,U3,Y3)</f>
        <v>22.45</v>
      </c>
      <c r="AH3" s="25">
        <f>Majorette_Solo_AccessoriesSolo_Children[[#This Row],[Final Total]]</f>
        <v>42.9</v>
      </c>
      <c r="AI3" s="26">
        <f>COUNTIFS(Majorette_Solo_AccessoriesSolo_Children[Age
Division],Majorette_Solo_AccessoriesSolo_Children[[#This Row],[Age
Division]],Majorette_Solo_AccessoriesSolo_Children[Category],Majorette_Solo_AccessoriesSolo_Children[[#This Row],[Category]],Majorette_Solo_AccessoriesSolo_Children[FINAL SCORE],"&gt;"&amp;Majorette_Solo_AccessoriesSolo_Children[[#This Row],[FINAL SCORE]])+1</f>
        <v>2</v>
      </c>
      <c r="AJ3" s="16" t="s">
        <v>33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C389C-4E0B-4DB0-AFA3-91DD9F26D734}">
  <dimension ref="A1:BC6"/>
  <sheetViews>
    <sheetView zoomScale="80" zoomScaleNormal="80" workbookViewId="0">
      <pane xSplit="8" topLeftCell="I1" activePane="topRight" state="frozen"/>
      <selection activeCell="F3" sqref="F3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6.44140625" style="29" customWidth="1"/>
    <col min="4" max="4" width="8.5546875" style="30" customWidth="1"/>
    <col min="5" max="5" width="16.33203125" style="30" hidden="1" customWidth="1"/>
    <col min="6" max="6" width="17.21875" style="19" customWidth="1"/>
    <col min="7" max="7" width="45.88671875" style="19" customWidth="1"/>
    <col min="8" max="8" width="9.21875" style="19" customWidth="1"/>
    <col min="9" max="12" width="9.109375" style="19" hidden="1" customWidth="1"/>
    <col min="13" max="16" width="9.109375" style="19" customWidth="1"/>
    <col min="17" max="20" width="9.109375" style="19" hidden="1" customWidth="1"/>
    <col min="21" max="28" width="9.109375" style="19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41</v>
      </c>
      <c r="B2" s="17">
        <v>2</v>
      </c>
      <c r="C2" s="17" t="s">
        <v>81</v>
      </c>
      <c r="D2" s="17" t="s">
        <v>23</v>
      </c>
      <c r="E2" s="18"/>
      <c r="F2" s="17" t="s">
        <v>87</v>
      </c>
      <c r="G2" s="27" t="s">
        <v>24</v>
      </c>
      <c r="H2" s="19" t="s">
        <v>25</v>
      </c>
      <c r="I2" s="20"/>
      <c r="J2" s="21"/>
      <c r="K2" s="22">
        <f>Majorette_Solo_AccessoriesSolo_Cadet[[#This Row],[Judge 1
Tamara Beljak]]-J2</f>
        <v>0</v>
      </c>
      <c r="L2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Row],[Category]],Majorette_Solo_AccessoriesSolo_Cadet[J1 TOTAL],"&gt;"&amp;Majorette_Solo_AccessoriesSolo_Cadet[[#This Row],[J1 TOTAL]])+1</f>
        <v>1</v>
      </c>
      <c r="M2" s="20">
        <v>23.8</v>
      </c>
      <c r="N2" s="21">
        <v>1</v>
      </c>
      <c r="O2" s="22">
        <f>Majorette_Solo_AccessoriesSolo_Cadet[[#This Row],[Judge 2
Tihomir Bendelja]]-Majorette_Solo_AccessoriesSolo_Cadet[[#This Row],[J2 (-)]]</f>
        <v>22.8</v>
      </c>
      <c r="P2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Row],[Category]],Majorette_Solo_AccessoriesSolo_Cadet[J2 TOTAL],"&gt;"&amp;Majorette_Solo_AccessoriesSolo_Cadet[[#This Row],[J2 TOTAL]])+1</f>
        <v>1</v>
      </c>
      <c r="Q2" s="20"/>
      <c r="R2" s="21"/>
      <c r="S2" s="22">
        <f>Majorette_Solo_AccessoriesSolo_Cadet[[#This Row],[Judge 3
Tea Softić]]-R2</f>
        <v>0</v>
      </c>
      <c r="T2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Row],[Category]],Majorette_Solo_AccessoriesSolo_Cadet[J3 TOTAL],"&gt;"&amp;Majorette_Solo_AccessoriesSolo_Cadet[[#This Row],[J3 TOTAL]])+1</f>
        <v>1</v>
      </c>
      <c r="U2" s="20">
        <v>19.7</v>
      </c>
      <c r="V2" s="21">
        <v>1</v>
      </c>
      <c r="W2" s="22">
        <f>Majorette_Solo_AccessoriesSolo_Cadet[[#This Row],[Judge 4
Bernard Barač]]-V2</f>
        <v>18.7</v>
      </c>
      <c r="X2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Row],[Category]],Majorette_Solo_AccessoriesSolo_Cadet[J4 TOTAL],"&gt;"&amp;Majorette_Solo_AccessoriesSolo_Cadet[[#This Row],[J4 TOTAL]])+1</f>
        <v>1</v>
      </c>
      <c r="Y2" s="20">
        <v>20.2</v>
      </c>
      <c r="Z2" s="21">
        <v>1</v>
      </c>
      <c r="AA2" s="22">
        <f>Majorette_Solo_AccessoriesSolo_Cadet[[#This Row],[Judge 5
Barbara Novina]]-Z2</f>
        <v>19.2</v>
      </c>
      <c r="AB2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Row],[Category]],Majorette_Solo_AccessoriesSolo_Cadet[J5 TOTAL],"&gt;"&amp;Majorette_Solo_AccessoriesSolo_Cadet[[#This Row],[J5 TOTAL]])+1</f>
        <v>1</v>
      </c>
      <c r="AC2" s="24">
        <f>SUM(Majorette_Solo_AccessoriesSolo_Cadet[[#This Row],[J1 TOTAL]]+Majorette_Solo_AccessoriesSolo_Cadet[[#This Row],[J2 TOTAL]]+Majorette_Solo_AccessoriesSolo_Cadet[[#This Row],[J3 TOTAL]]+Majorette_Solo_AccessoriesSolo_Cadet[[#This Row],[J4 TOTAL]])+Majorette_Solo_AccessoriesSolo_Cadet[[#This Row],[J5 TOTAL]]</f>
        <v>60.7</v>
      </c>
      <c r="AD2" s="24"/>
      <c r="AE2" s="24"/>
      <c r="AF2" s="24">
        <f>SUM(Majorette_Solo_AccessoriesSolo_Cadet[[#This Row],[Total]]-Majorette_Solo_AccessoriesSolo_Cadet[[#This Row],[Low]]-Majorette_Solo_AccessoriesSolo_Cadet[[#This Row],[High]])</f>
        <v>60.7</v>
      </c>
      <c r="AG2" s="24">
        <f>AVERAGE(I2,M2,Q2,U2,Y2)</f>
        <v>21.233333333333334</v>
      </c>
      <c r="AH2" s="25">
        <f>Majorette_Solo_AccessoriesSolo_Cadet[[#This Row],[Final Total]]</f>
        <v>60.7</v>
      </c>
      <c r="AI2" s="26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Row],[Category]],Majorette_Solo_AccessoriesSolo_Cadet[FINAL SCORE],"&gt;"&amp;Majorette_Solo_AccessoriesSolo_Cadet[[#This Row],[FINAL SCORE]])+1</f>
        <v>1</v>
      </c>
      <c r="AJ2" s="16" t="s">
        <v>33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39</v>
      </c>
      <c r="B3" s="17">
        <v>2</v>
      </c>
      <c r="C3" s="17" t="s">
        <v>81</v>
      </c>
      <c r="D3" s="17" t="s">
        <v>23</v>
      </c>
      <c r="E3" s="18"/>
      <c r="F3" s="17" t="s">
        <v>86</v>
      </c>
      <c r="G3" s="27" t="s">
        <v>24</v>
      </c>
      <c r="H3" s="19" t="s">
        <v>25</v>
      </c>
      <c r="I3" s="20"/>
      <c r="J3" s="21"/>
      <c r="K3" s="22">
        <f>Majorette_Solo_AccessoriesSolo_Cadet[[#This Row],[Judge 1
Tamara Beljak]]-J3</f>
        <v>0</v>
      </c>
      <c r="L3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Row],[Category]],Majorette_Solo_AccessoriesSolo_Cadet[J1 TOTAL],"&gt;"&amp;Majorette_Solo_AccessoriesSolo_Cadet[[#This Row],[J1 TOTAL]])+1</f>
        <v>1</v>
      </c>
      <c r="M3" s="20">
        <v>22.1</v>
      </c>
      <c r="N3" s="21">
        <v>0.5</v>
      </c>
      <c r="O3" s="22">
        <f>Majorette_Solo_AccessoriesSolo_Cadet[[#This Row],[Judge 2
Tihomir Bendelja]]-Majorette_Solo_AccessoriesSolo_Cadet[[#This Row],[J2 (-)]]</f>
        <v>21.6</v>
      </c>
      <c r="P3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Row],[Category]],Majorette_Solo_AccessoriesSolo_Cadet[J2 TOTAL],"&gt;"&amp;Majorette_Solo_AccessoriesSolo_Cadet[[#This Row],[J2 TOTAL]])+1</f>
        <v>2</v>
      </c>
      <c r="Q3" s="20"/>
      <c r="R3" s="21"/>
      <c r="S3" s="22">
        <f>Majorette_Solo_AccessoriesSolo_Cadet[[#This Row],[Judge 3
Tea Softić]]-R3</f>
        <v>0</v>
      </c>
      <c r="T3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Row],[Category]],Majorette_Solo_AccessoriesSolo_Cadet[J3 TOTAL],"&gt;"&amp;Majorette_Solo_AccessoriesSolo_Cadet[[#This Row],[J3 TOTAL]])+1</f>
        <v>1</v>
      </c>
      <c r="U3" s="20">
        <v>18.5</v>
      </c>
      <c r="V3" s="21">
        <v>0.5</v>
      </c>
      <c r="W3" s="22">
        <f>Majorette_Solo_AccessoriesSolo_Cadet[[#This Row],[Judge 4
Bernard Barač]]-V3</f>
        <v>18</v>
      </c>
      <c r="X3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Row],[Category]],Majorette_Solo_AccessoriesSolo_Cadet[J4 TOTAL],"&gt;"&amp;Majorette_Solo_AccessoriesSolo_Cadet[[#This Row],[J4 TOTAL]])+1</f>
        <v>2</v>
      </c>
      <c r="Y3" s="20">
        <v>18.5</v>
      </c>
      <c r="Z3" s="21">
        <v>0.5</v>
      </c>
      <c r="AA3" s="22">
        <f>Majorette_Solo_AccessoriesSolo_Cadet[[#This Row],[Judge 5
Barbara Novina]]-Z3</f>
        <v>18</v>
      </c>
      <c r="AB3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Row],[Category]],Majorette_Solo_AccessoriesSolo_Cadet[J5 TOTAL],"&gt;"&amp;Majorette_Solo_AccessoriesSolo_Cadet[[#This Row],[J5 TOTAL]])+1</f>
        <v>2</v>
      </c>
      <c r="AC3" s="24">
        <f>SUM(Majorette_Solo_AccessoriesSolo_Cadet[[#This Row],[J1 TOTAL]]+Majorette_Solo_AccessoriesSolo_Cadet[[#This Row],[J2 TOTAL]]+Majorette_Solo_AccessoriesSolo_Cadet[[#This Row],[J3 TOTAL]]+Majorette_Solo_AccessoriesSolo_Cadet[[#This Row],[J4 TOTAL]])+Majorette_Solo_AccessoriesSolo_Cadet[[#This Row],[J5 TOTAL]]</f>
        <v>57.6</v>
      </c>
      <c r="AD3" s="24"/>
      <c r="AE3" s="24"/>
      <c r="AF3" s="24">
        <f>SUM(Majorette_Solo_AccessoriesSolo_Cadet[[#This Row],[Total]]-Majorette_Solo_AccessoriesSolo_Cadet[[#This Row],[Low]]-Majorette_Solo_AccessoriesSolo_Cadet[[#This Row],[High]])</f>
        <v>57.6</v>
      </c>
      <c r="AG3" s="24">
        <f>AVERAGE(I3,M3,Q3,U3,Y3)</f>
        <v>19.7</v>
      </c>
      <c r="AH3" s="25">
        <f>Majorette_Solo_AccessoriesSolo_Cadet[[#This Row],[Final Total]]</f>
        <v>57.6</v>
      </c>
      <c r="AI3" s="26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Row],[Category]],Majorette_Solo_AccessoriesSolo_Cadet[FINAL SCORE],"&gt;"&amp;Majorette_Solo_AccessoriesSolo_Cadet[[#This Row],[FINAL SCORE]])+1</f>
        <v>2</v>
      </c>
      <c r="AJ3" s="16" t="s">
        <v>33</v>
      </c>
    </row>
    <row r="4" spans="1:55" ht="15.6" x14ac:dyDescent="0.3">
      <c r="A4" s="16">
        <v>37</v>
      </c>
      <c r="B4" s="17">
        <v>2</v>
      </c>
      <c r="C4" s="17" t="s">
        <v>81</v>
      </c>
      <c r="D4" s="17" t="s">
        <v>23</v>
      </c>
      <c r="E4" s="17"/>
      <c r="F4" s="17" t="s">
        <v>85</v>
      </c>
      <c r="G4" s="27" t="s">
        <v>83</v>
      </c>
      <c r="H4" s="19" t="s">
        <v>28</v>
      </c>
      <c r="I4" s="20"/>
      <c r="J4" s="21"/>
      <c r="K4" s="22">
        <f>Majorette_Solo_AccessoriesSolo_Cadet[[#This Row],[Judge 1
Tamara Beljak]]-J4</f>
        <v>0</v>
      </c>
      <c r="L4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Row],[Category]],Majorette_Solo_AccessoriesSolo_Cadet[J1 TOTAL],"&gt;"&amp;Majorette_Solo_AccessoriesSolo_Cadet[[#This Row],[J1 TOTAL]])+1</f>
        <v>1</v>
      </c>
      <c r="M4" s="20">
        <v>21.8</v>
      </c>
      <c r="N4" s="21">
        <v>2</v>
      </c>
      <c r="O4" s="22">
        <f>Majorette_Solo_AccessoriesSolo_Cadet[[#This Row],[Judge 2
Tihomir Bendelja]]-Majorette_Solo_AccessoriesSolo_Cadet[[#This Row],[J2 (-)]]</f>
        <v>19.8</v>
      </c>
      <c r="P4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Row],[Category]],Majorette_Solo_AccessoriesSolo_Cadet[J2 TOTAL],"&gt;"&amp;Majorette_Solo_AccessoriesSolo_Cadet[[#This Row],[J2 TOTAL]])+1</f>
        <v>3</v>
      </c>
      <c r="Q4" s="20"/>
      <c r="R4" s="21"/>
      <c r="S4" s="22">
        <f>Majorette_Solo_AccessoriesSolo_Cadet[[#This Row],[Judge 3
Tea Softić]]-R4</f>
        <v>0</v>
      </c>
      <c r="T4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Row],[Category]],Majorette_Solo_AccessoriesSolo_Cadet[J3 TOTAL],"&gt;"&amp;Majorette_Solo_AccessoriesSolo_Cadet[[#This Row],[J3 TOTAL]])+1</f>
        <v>1</v>
      </c>
      <c r="U4" s="20">
        <v>19.600000000000001</v>
      </c>
      <c r="V4" s="21">
        <v>2</v>
      </c>
      <c r="W4" s="22">
        <f>Majorette_Solo_AccessoriesSolo_Cadet[[#This Row],[Judge 4
Bernard Barač]]-V4</f>
        <v>17.600000000000001</v>
      </c>
      <c r="X4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Row],[Category]],Majorette_Solo_AccessoriesSolo_Cadet[J4 TOTAL],"&gt;"&amp;Majorette_Solo_AccessoriesSolo_Cadet[[#This Row],[J4 TOTAL]])+1</f>
        <v>3</v>
      </c>
      <c r="Y4" s="20">
        <v>18.5</v>
      </c>
      <c r="Z4" s="21">
        <v>2</v>
      </c>
      <c r="AA4" s="22">
        <f>Majorette_Solo_AccessoriesSolo_Cadet[[#This Row],[Judge 5
Barbara Novina]]-Z4</f>
        <v>16.5</v>
      </c>
      <c r="AB4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Row],[Category]],Majorette_Solo_AccessoriesSolo_Cadet[J5 TOTAL],"&gt;"&amp;Majorette_Solo_AccessoriesSolo_Cadet[[#This Row],[J5 TOTAL]])+1</f>
        <v>3</v>
      </c>
      <c r="AC4" s="24">
        <f>SUM(Majorette_Solo_AccessoriesSolo_Cadet[[#This Row],[J1 TOTAL]]+Majorette_Solo_AccessoriesSolo_Cadet[[#This Row],[J2 TOTAL]]+Majorette_Solo_AccessoriesSolo_Cadet[[#This Row],[J3 TOTAL]]+Majorette_Solo_AccessoriesSolo_Cadet[[#This Row],[J4 TOTAL]])+Majorette_Solo_AccessoriesSolo_Cadet[[#This Row],[J5 TOTAL]]</f>
        <v>53.900000000000006</v>
      </c>
      <c r="AD4" s="24"/>
      <c r="AE4" s="24"/>
      <c r="AF4" s="24">
        <f>SUM(Majorette_Solo_AccessoriesSolo_Cadet[[#This Row],[Total]]-Majorette_Solo_AccessoriesSolo_Cadet[[#This Row],[Low]]-Majorette_Solo_AccessoriesSolo_Cadet[[#This Row],[High]])</f>
        <v>53.900000000000006</v>
      </c>
      <c r="AG4" s="24">
        <f>AVERAGE(I4,M4,Q4,U4,Y4)</f>
        <v>19.966666666666669</v>
      </c>
      <c r="AH4" s="25">
        <f>Majorette_Solo_AccessoriesSolo_Cadet[[#This Row],[Final Total]]</f>
        <v>53.900000000000006</v>
      </c>
      <c r="AI4" s="28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Row],[Category]],Majorette_Solo_AccessoriesSolo_Cadet[FINAL SCORE],"&gt;"&amp;Majorette_Solo_AccessoriesSolo_Cadet[[#This Row],[FINAL SCORE]])+1</f>
        <v>3</v>
      </c>
      <c r="AJ4" s="16" t="s">
        <v>33</v>
      </c>
    </row>
    <row r="5" spans="1:55" ht="15.6" x14ac:dyDescent="0.3">
      <c r="A5" s="16">
        <v>45</v>
      </c>
      <c r="B5" s="17">
        <v>2</v>
      </c>
      <c r="C5" s="17" t="s">
        <v>81</v>
      </c>
      <c r="D5" s="17" t="s">
        <v>23</v>
      </c>
      <c r="E5" s="18"/>
      <c r="F5" s="17" t="s">
        <v>89</v>
      </c>
      <c r="G5" s="27" t="s">
        <v>83</v>
      </c>
      <c r="H5" s="19" t="s">
        <v>28</v>
      </c>
      <c r="I5" s="20"/>
      <c r="J5" s="21"/>
      <c r="K5" s="22">
        <f>Majorette_Solo_AccessoriesSolo_Cadet[[#This Row],[Judge 1
Tamara Beljak]]-J5</f>
        <v>0</v>
      </c>
      <c r="L5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Row],[Category]],Majorette_Solo_AccessoriesSolo_Cadet[J1 TOTAL],"&gt;"&amp;Majorette_Solo_AccessoriesSolo_Cadet[[#This Row],[J1 TOTAL]])+1</f>
        <v>1</v>
      </c>
      <c r="M5" s="20">
        <v>14.7</v>
      </c>
      <c r="N5" s="21">
        <v>1</v>
      </c>
      <c r="O5" s="22">
        <f>Majorette_Solo_AccessoriesSolo_Cadet[[#This Row],[Judge 2
Tihomir Bendelja]]-Majorette_Solo_AccessoriesSolo_Cadet[[#This Row],[J2 (-)]]</f>
        <v>13.7</v>
      </c>
      <c r="P5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Row],[Category]],Majorette_Solo_AccessoriesSolo_Cadet[J2 TOTAL],"&gt;"&amp;Majorette_Solo_AccessoriesSolo_Cadet[[#This Row],[J2 TOTAL]])+1</f>
        <v>4</v>
      </c>
      <c r="Q5" s="20"/>
      <c r="R5" s="21"/>
      <c r="S5" s="22">
        <f>Majorette_Solo_AccessoriesSolo_Cadet[[#This Row],[Judge 3
Tea Softić]]-R5</f>
        <v>0</v>
      </c>
      <c r="T5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Row],[Category]],Majorette_Solo_AccessoriesSolo_Cadet[J3 TOTAL],"&gt;"&amp;Majorette_Solo_AccessoriesSolo_Cadet[[#This Row],[J3 TOTAL]])+1</f>
        <v>1</v>
      </c>
      <c r="U5" s="20">
        <v>18.3</v>
      </c>
      <c r="V5" s="21">
        <v>1</v>
      </c>
      <c r="W5" s="22">
        <f>Majorette_Solo_AccessoriesSolo_Cadet[[#This Row],[Judge 4
Bernard Barač]]-V5</f>
        <v>17.3</v>
      </c>
      <c r="X5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Row],[Category]],Majorette_Solo_AccessoriesSolo_Cadet[J4 TOTAL],"&gt;"&amp;Majorette_Solo_AccessoriesSolo_Cadet[[#This Row],[J4 TOTAL]])+1</f>
        <v>4</v>
      </c>
      <c r="Y5" s="20">
        <v>15.7</v>
      </c>
      <c r="Z5" s="21">
        <v>1</v>
      </c>
      <c r="AA5" s="22">
        <f>Majorette_Solo_AccessoriesSolo_Cadet[[#This Row],[Judge 5
Barbara Novina]]-Z5</f>
        <v>14.7</v>
      </c>
      <c r="AB5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Row],[Category]],Majorette_Solo_AccessoriesSolo_Cadet[J5 TOTAL],"&gt;"&amp;Majorette_Solo_AccessoriesSolo_Cadet[[#This Row],[J5 TOTAL]])+1</f>
        <v>4</v>
      </c>
      <c r="AC5" s="24">
        <f>SUM(Majorette_Solo_AccessoriesSolo_Cadet[[#This Row],[J1 TOTAL]]+Majorette_Solo_AccessoriesSolo_Cadet[[#This Row],[J2 TOTAL]]+Majorette_Solo_AccessoriesSolo_Cadet[[#This Row],[J3 TOTAL]]+Majorette_Solo_AccessoriesSolo_Cadet[[#This Row],[J4 TOTAL]])+Majorette_Solo_AccessoriesSolo_Cadet[[#This Row],[J5 TOTAL]]</f>
        <v>45.7</v>
      </c>
      <c r="AD5" s="24"/>
      <c r="AE5" s="24"/>
      <c r="AF5" s="24">
        <f>SUM(Majorette_Solo_AccessoriesSolo_Cadet[[#This Row],[Total]]-Majorette_Solo_AccessoriesSolo_Cadet[[#This Row],[Low]]-Majorette_Solo_AccessoriesSolo_Cadet[[#This Row],[High]])</f>
        <v>45.7</v>
      </c>
      <c r="AG5" s="24">
        <f>AVERAGE(I5,M5,Q5,U5,Y5)</f>
        <v>16.233333333333334</v>
      </c>
      <c r="AH5" s="25">
        <f>Majorette_Solo_AccessoriesSolo_Cadet[[#This Row],[Final Total]]</f>
        <v>45.7</v>
      </c>
      <c r="AI5" s="26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Row],[Category]],Majorette_Solo_AccessoriesSolo_Cadet[FINAL SCORE],"&gt;"&amp;Majorette_Solo_AccessoriesSolo_Cadet[[#This Row],[FINAL SCORE]])+1</f>
        <v>4</v>
      </c>
      <c r="AJ5" s="16" t="s">
        <v>33</v>
      </c>
    </row>
    <row r="6" spans="1:55" ht="15.6" x14ac:dyDescent="0.3">
      <c r="A6" s="16">
        <v>43</v>
      </c>
      <c r="B6" s="17">
        <v>2</v>
      </c>
      <c r="C6" s="17" t="s">
        <v>81</v>
      </c>
      <c r="D6" s="17" t="s">
        <v>23</v>
      </c>
      <c r="E6" s="18"/>
      <c r="F6" s="17" t="s">
        <v>88</v>
      </c>
      <c r="G6" s="27" t="s">
        <v>83</v>
      </c>
      <c r="H6" s="19" t="s">
        <v>28</v>
      </c>
      <c r="I6" s="20"/>
      <c r="J6" s="21"/>
      <c r="K6" s="22">
        <f>Majorette_Solo_AccessoriesSolo_Cadet[[#This Row],[Judge 1
Tamara Beljak]]-J6</f>
        <v>0</v>
      </c>
      <c r="L6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Row],[Category]],Majorette_Solo_AccessoriesSolo_Cadet[J1 TOTAL],"&gt;"&amp;Majorette_Solo_AccessoriesSolo_Cadet[[#This Row],[J1 TOTAL]])+1</f>
        <v>1</v>
      </c>
      <c r="M6" s="20">
        <v>11.9</v>
      </c>
      <c r="N6" s="21">
        <v>0.5</v>
      </c>
      <c r="O6" s="22">
        <f>Majorette_Solo_AccessoriesSolo_Cadet[[#This Row],[Judge 2
Tihomir Bendelja]]-Majorette_Solo_AccessoriesSolo_Cadet[[#This Row],[J2 (-)]]</f>
        <v>11.4</v>
      </c>
      <c r="P6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Row],[Category]],Majorette_Solo_AccessoriesSolo_Cadet[J2 TOTAL],"&gt;"&amp;Majorette_Solo_AccessoriesSolo_Cadet[[#This Row],[J2 TOTAL]])+1</f>
        <v>5</v>
      </c>
      <c r="Q6" s="20"/>
      <c r="R6" s="21"/>
      <c r="S6" s="22">
        <f>Majorette_Solo_AccessoriesSolo_Cadet[[#This Row],[Judge 3
Tea Softić]]-R6</f>
        <v>0</v>
      </c>
      <c r="T6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Row],[Category]],Majorette_Solo_AccessoriesSolo_Cadet[J3 TOTAL],"&gt;"&amp;Majorette_Solo_AccessoriesSolo_Cadet[[#This Row],[J3 TOTAL]])+1</f>
        <v>1</v>
      </c>
      <c r="U6" s="20">
        <v>14.6</v>
      </c>
      <c r="V6" s="21">
        <v>0.5</v>
      </c>
      <c r="W6" s="22">
        <f>Majorette_Solo_AccessoriesSolo_Cadet[[#This Row],[Judge 4
Bernard Barač]]-V6</f>
        <v>14.1</v>
      </c>
      <c r="X6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Row],[Category]],Majorette_Solo_AccessoriesSolo_Cadet[J4 TOTAL],"&gt;"&amp;Majorette_Solo_AccessoriesSolo_Cadet[[#This Row],[J4 TOTAL]])+1</f>
        <v>5</v>
      </c>
      <c r="Y6" s="20">
        <v>11.3</v>
      </c>
      <c r="Z6" s="21">
        <v>0.5</v>
      </c>
      <c r="AA6" s="22">
        <f>Majorette_Solo_AccessoriesSolo_Cadet[[#This Row],[Judge 5
Barbara Novina]]-Z6</f>
        <v>10.8</v>
      </c>
      <c r="AB6" s="23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Row],[Category]],Majorette_Solo_AccessoriesSolo_Cadet[J5 TOTAL],"&gt;"&amp;Majorette_Solo_AccessoriesSolo_Cadet[[#This Row],[J5 TOTAL]])+1</f>
        <v>5</v>
      </c>
      <c r="AC6" s="24">
        <f>SUM(Majorette_Solo_AccessoriesSolo_Cadet[[#This Row],[J1 TOTAL]]+Majorette_Solo_AccessoriesSolo_Cadet[[#This Row],[J2 TOTAL]]+Majorette_Solo_AccessoriesSolo_Cadet[[#This Row],[J3 TOTAL]]+Majorette_Solo_AccessoriesSolo_Cadet[[#This Row],[J4 TOTAL]])+Majorette_Solo_AccessoriesSolo_Cadet[[#This Row],[J5 TOTAL]]</f>
        <v>36.299999999999997</v>
      </c>
      <c r="AD6" s="24"/>
      <c r="AE6" s="24"/>
      <c r="AF6" s="24">
        <f>SUM(Majorette_Solo_AccessoriesSolo_Cadet[[#This Row],[Total]]-Majorette_Solo_AccessoriesSolo_Cadet[[#This Row],[Low]]-Majorette_Solo_AccessoriesSolo_Cadet[[#This Row],[High]])</f>
        <v>36.299999999999997</v>
      </c>
      <c r="AG6" s="24">
        <f>AVERAGE(I6,M6,Q6,U6,Y6)</f>
        <v>12.6</v>
      </c>
      <c r="AH6" s="25">
        <f>Majorette_Solo_AccessoriesSolo_Cadet[[#This Row],[Final Total]]</f>
        <v>36.299999999999997</v>
      </c>
      <c r="AI6" s="26">
        <f>COUNTIFS(Majorette_Solo_AccessoriesSolo_Cadet[Age
Division],Majorette_Solo_AccessoriesSolo_Cadet[[#This Row],[Age
Division]],Majorette_Solo_AccessoriesSolo_Cadet[Category],Majorette_Solo_AccessoriesSolo_Cadet[[#This Row],[Category]],Majorette_Solo_AccessoriesSolo_Cadet[FINAL SCORE],"&gt;"&amp;Majorette_Solo_AccessoriesSolo_Cadet[[#This Row],[FINAL SCORE]])+1</f>
        <v>5</v>
      </c>
      <c r="AJ6" s="16" t="s">
        <v>33</v>
      </c>
    </row>
  </sheetData>
  <sheetProtection algorithmName="SHA-512" hashValue="tDhD7aLIts61bF7K0RXOr0y7JaqJeyp4nJY59mu9DORdlgzMEUT3pRG67oSzL6cJoUj+qWjQegq8a8tE1r4gew==" saltValue="eW2MLWXo4oRearKGPO2eOQ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A5C67-1464-4F43-B600-5D5127820E4F}">
  <dimension ref="A1:BC4"/>
  <sheetViews>
    <sheetView zoomScale="80" zoomScaleNormal="80" workbookViewId="0">
      <pane xSplit="8" topLeftCell="I1" activePane="topRight" state="frozen"/>
      <selection activeCell="F3" sqref="F3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6.44140625" style="29" customWidth="1"/>
    <col min="4" max="4" width="12.5546875" style="30" customWidth="1"/>
    <col min="5" max="5" width="16.33203125" style="30" hidden="1" customWidth="1"/>
    <col min="6" max="6" width="11.44140625" style="19" customWidth="1"/>
    <col min="7" max="7" width="46.5546875" style="19" customWidth="1"/>
    <col min="8" max="8" width="9.6640625" style="19" customWidth="1"/>
    <col min="9" max="12" width="9.109375" style="19" customWidth="1"/>
    <col min="13" max="16" width="9.109375" style="19" hidden="1" customWidth="1"/>
    <col min="17" max="20" width="9.109375" style="19" customWidth="1"/>
    <col min="21" max="28" width="9.109375" style="19" hidden="1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22</v>
      </c>
      <c r="B2" s="17">
        <v>1</v>
      </c>
      <c r="C2" s="17" t="s">
        <v>81</v>
      </c>
      <c r="D2" s="17" t="s">
        <v>27</v>
      </c>
      <c r="E2" s="17"/>
      <c r="F2" s="17" t="s">
        <v>90</v>
      </c>
      <c r="G2" s="17" t="s">
        <v>91</v>
      </c>
      <c r="H2" s="19" t="s">
        <v>28</v>
      </c>
      <c r="I2" s="20">
        <v>36.299999999999997</v>
      </c>
      <c r="J2" s="21">
        <v>0</v>
      </c>
      <c r="K2" s="22">
        <f>Majorette_Solo_AccessoriesSolo_Junior[[#This Row],[Judge 1
Tamara Beljak]]-J2</f>
        <v>36.299999999999997</v>
      </c>
      <c r="L2" s="23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Row],[Category]],Majorette_Solo_AccessoriesSolo_Junior[J1 TOTAL],"&gt;"&amp;Majorette_Solo_AccessoriesSolo_Junior[[#This Row],[J1 TOTAL]])+1</f>
        <v>1</v>
      </c>
      <c r="M2" s="20"/>
      <c r="N2" s="21"/>
      <c r="O2" s="22">
        <f>Majorette_Solo_AccessoriesSolo_Junior[[#This Row],[Judge 2
Tihomir Bendelja]]-Majorette_Solo_AccessoriesSolo_Junior[[#This Row],[J2 (-)]]</f>
        <v>0</v>
      </c>
      <c r="P2" s="23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Row],[Category]],Majorette_Solo_AccessoriesSolo_Junior[J2 TOTAL],"&gt;"&amp;Majorette_Solo_AccessoriesSolo_Junior[[#This Row],[J2 TOTAL]])+1</f>
        <v>1</v>
      </c>
      <c r="Q2" s="20">
        <v>38.1</v>
      </c>
      <c r="R2" s="21">
        <v>0</v>
      </c>
      <c r="S2" s="22">
        <f>Majorette_Solo_AccessoriesSolo_Junior[[#This Row],[Judge 3
Tea Softić]]-R2</f>
        <v>38.1</v>
      </c>
      <c r="T2" s="23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Row],[Category]],Majorette_Solo_AccessoriesSolo_Junior[J3 TOTAL],"&gt;"&amp;Majorette_Solo_AccessoriesSolo_Junior[[#This Row],[J3 TOTAL]])+1</f>
        <v>1</v>
      </c>
      <c r="U2" s="20"/>
      <c r="V2" s="21"/>
      <c r="W2" s="22">
        <f>Majorette_Solo_AccessoriesSolo_Junior[[#This Row],[Judge 4
Bernard Barač]]-V2</f>
        <v>0</v>
      </c>
      <c r="X2" s="23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Row],[Category]],Majorette_Solo_AccessoriesSolo_Junior[J4 TOTAL],"&gt;"&amp;Majorette_Solo_AccessoriesSolo_Junior[[#This Row],[J4 TOTAL]])+1</f>
        <v>1</v>
      </c>
      <c r="Y2" s="20"/>
      <c r="Z2" s="21"/>
      <c r="AA2" s="22">
        <f>Majorette_Solo_AccessoriesSolo_Junior[[#This Row],[Judge 5
Barbara Novina]]-Z2</f>
        <v>0</v>
      </c>
      <c r="AB2" s="23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Row],[Category]],Majorette_Solo_AccessoriesSolo_Junior[J5 TOTAL],"&gt;"&amp;Majorette_Solo_AccessoriesSolo_Junior[[#This Row],[J5 TOTAL]])+1</f>
        <v>1</v>
      </c>
      <c r="AC2" s="24">
        <f>SUM(Majorette_Solo_AccessoriesSolo_Junior[[#This Row],[J1 TOTAL]]+Majorette_Solo_AccessoriesSolo_Junior[[#This Row],[J2 TOTAL]]+Majorette_Solo_AccessoriesSolo_Junior[[#This Row],[J3 TOTAL]]+Majorette_Solo_AccessoriesSolo_Junior[[#This Row],[J4 TOTAL]])+Majorette_Solo_AccessoriesSolo_Junior[[#This Row],[J5 TOTAL]]</f>
        <v>74.400000000000006</v>
      </c>
      <c r="AD2" s="24"/>
      <c r="AE2" s="24"/>
      <c r="AF2" s="24">
        <f>SUM(Majorette_Solo_AccessoriesSolo_Junior[[#This Row],[Total]]-Majorette_Solo_AccessoriesSolo_Junior[[#This Row],[Low]]-Majorette_Solo_AccessoriesSolo_Junior[[#This Row],[High]])</f>
        <v>74.400000000000006</v>
      </c>
      <c r="AG2" s="24">
        <f>AVERAGE(I2,M2,Q2,U2,Y2)</f>
        <v>37.200000000000003</v>
      </c>
      <c r="AH2" s="25">
        <f>Majorette_Solo_AccessoriesSolo_Junior[[#This Row],[Final Total]]</f>
        <v>74.400000000000006</v>
      </c>
      <c r="AI2" s="28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Row],[Category]],Majorette_Solo_AccessoriesSolo_Junior[FINAL SCORE],"&gt;"&amp;Majorette_Solo_AccessoriesSolo_Junior[[#This Row],[FINAL SCORE]])+1</f>
        <v>1</v>
      </c>
      <c r="AJ2" s="16" t="s">
        <v>33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5.6" x14ac:dyDescent="0.3">
      <c r="A3" s="16">
        <v>24</v>
      </c>
      <c r="B3" s="17">
        <v>1</v>
      </c>
      <c r="C3" s="17" t="s">
        <v>81</v>
      </c>
      <c r="D3" s="17" t="s">
        <v>27</v>
      </c>
      <c r="E3" s="18"/>
      <c r="F3" s="17" t="s">
        <v>92</v>
      </c>
      <c r="G3" s="17" t="s">
        <v>93</v>
      </c>
      <c r="H3" s="19" t="s">
        <v>25</v>
      </c>
      <c r="I3" s="20">
        <v>32.799999999999997</v>
      </c>
      <c r="J3" s="21">
        <v>1</v>
      </c>
      <c r="K3" s="22">
        <f>Majorette_Solo_AccessoriesSolo_Junior[[#This Row],[Judge 1
Tamara Beljak]]-J3</f>
        <v>31.799999999999997</v>
      </c>
      <c r="L3" s="23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Row],[Category]],Majorette_Solo_AccessoriesSolo_Junior[J1 TOTAL],"&gt;"&amp;Majorette_Solo_AccessoriesSolo_Junior[[#This Row],[J1 TOTAL]])+1</f>
        <v>2</v>
      </c>
      <c r="M3" s="20"/>
      <c r="N3" s="21"/>
      <c r="O3" s="22">
        <f>Majorette_Solo_AccessoriesSolo_Junior[[#This Row],[Judge 2
Tihomir Bendelja]]-Majorette_Solo_AccessoriesSolo_Junior[[#This Row],[J2 (-)]]</f>
        <v>0</v>
      </c>
      <c r="P3" s="23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Row],[Category]],Majorette_Solo_AccessoriesSolo_Junior[J2 TOTAL],"&gt;"&amp;Majorette_Solo_AccessoriesSolo_Junior[[#This Row],[J2 TOTAL]])+1</f>
        <v>1</v>
      </c>
      <c r="Q3" s="20">
        <v>37.6</v>
      </c>
      <c r="R3" s="21">
        <v>1</v>
      </c>
      <c r="S3" s="22">
        <f>Majorette_Solo_AccessoriesSolo_Junior[[#This Row],[Judge 3
Tea Softić]]-R3</f>
        <v>36.6</v>
      </c>
      <c r="T3" s="23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Row],[Category]],Majorette_Solo_AccessoriesSolo_Junior[J3 TOTAL],"&gt;"&amp;Majorette_Solo_AccessoriesSolo_Junior[[#This Row],[J3 TOTAL]])+1</f>
        <v>2</v>
      </c>
      <c r="U3" s="20"/>
      <c r="V3" s="21"/>
      <c r="W3" s="22">
        <f>Majorette_Solo_AccessoriesSolo_Junior[[#This Row],[Judge 4
Bernard Barač]]-V3</f>
        <v>0</v>
      </c>
      <c r="X3" s="23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Row],[Category]],Majorette_Solo_AccessoriesSolo_Junior[J4 TOTAL],"&gt;"&amp;Majorette_Solo_AccessoriesSolo_Junior[[#This Row],[J4 TOTAL]])+1</f>
        <v>1</v>
      </c>
      <c r="Y3" s="20"/>
      <c r="Z3" s="21"/>
      <c r="AA3" s="22">
        <f>Majorette_Solo_AccessoriesSolo_Junior[[#This Row],[Judge 5
Barbara Novina]]-Z3</f>
        <v>0</v>
      </c>
      <c r="AB3" s="23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Row],[Category]],Majorette_Solo_AccessoriesSolo_Junior[J5 TOTAL],"&gt;"&amp;Majorette_Solo_AccessoriesSolo_Junior[[#This Row],[J5 TOTAL]])+1</f>
        <v>1</v>
      </c>
      <c r="AC3" s="24">
        <f>SUM(Majorette_Solo_AccessoriesSolo_Junior[[#This Row],[J1 TOTAL]]+Majorette_Solo_AccessoriesSolo_Junior[[#This Row],[J2 TOTAL]]+Majorette_Solo_AccessoriesSolo_Junior[[#This Row],[J3 TOTAL]]+Majorette_Solo_AccessoriesSolo_Junior[[#This Row],[J4 TOTAL]])+Majorette_Solo_AccessoriesSolo_Junior[[#This Row],[J5 TOTAL]]</f>
        <v>68.400000000000006</v>
      </c>
      <c r="AD3" s="24"/>
      <c r="AE3" s="24"/>
      <c r="AF3" s="24">
        <f>SUM(Majorette_Solo_AccessoriesSolo_Junior[[#This Row],[Total]]-Majorette_Solo_AccessoriesSolo_Junior[[#This Row],[Low]]-Majorette_Solo_AccessoriesSolo_Junior[[#This Row],[High]])</f>
        <v>68.400000000000006</v>
      </c>
      <c r="AG3" s="24">
        <f>AVERAGE(I3,M3,Q3,U3,Y3)</f>
        <v>35.200000000000003</v>
      </c>
      <c r="AH3" s="25">
        <f>Majorette_Solo_AccessoriesSolo_Junior[[#This Row],[Final Total]]</f>
        <v>68.400000000000006</v>
      </c>
      <c r="AI3" s="26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Row],[Category]],Majorette_Solo_AccessoriesSolo_Junior[FINAL SCORE],"&gt;"&amp;Majorette_Solo_AccessoriesSolo_Junior[[#This Row],[FINAL SCORE]])+1</f>
        <v>2</v>
      </c>
      <c r="AJ3" s="16" t="s">
        <v>33</v>
      </c>
    </row>
    <row r="4" spans="1:55" ht="15.6" x14ac:dyDescent="0.3">
      <c r="A4" s="16">
        <v>26</v>
      </c>
      <c r="B4" s="17">
        <v>1</v>
      </c>
      <c r="C4" s="17" t="s">
        <v>81</v>
      </c>
      <c r="D4" s="17" t="s">
        <v>27</v>
      </c>
      <c r="E4" s="18"/>
      <c r="F4" s="17" t="s">
        <v>49</v>
      </c>
      <c r="G4" s="17" t="s">
        <v>24</v>
      </c>
      <c r="H4" s="19" t="s">
        <v>25</v>
      </c>
      <c r="I4" s="20">
        <v>22</v>
      </c>
      <c r="J4" s="21">
        <v>0.5</v>
      </c>
      <c r="K4" s="22">
        <f>Majorette_Solo_AccessoriesSolo_Junior[[#This Row],[Judge 1
Tamara Beljak]]-J4</f>
        <v>21.5</v>
      </c>
      <c r="L4" s="23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Row],[Category]],Majorette_Solo_AccessoriesSolo_Junior[J1 TOTAL],"&gt;"&amp;Majorette_Solo_AccessoriesSolo_Junior[[#This Row],[J1 TOTAL]])+1</f>
        <v>3</v>
      </c>
      <c r="M4" s="20"/>
      <c r="N4" s="21"/>
      <c r="O4" s="22">
        <f>Majorette_Solo_AccessoriesSolo_Junior[[#This Row],[Judge 2
Tihomir Bendelja]]-Majorette_Solo_AccessoriesSolo_Junior[[#This Row],[J2 (-)]]</f>
        <v>0</v>
      </c>
      <c r="P4" s="23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Row],[Category]],Majorette_Solo_AccessoriesSolo_Junior[J2 TOTAL],"&gt;"&amp;Majorette_Solo_AccessoriesSolo_Junior[[#This Row],[J2 TOTAL]])+1</f>
        <v>1</v>
      </c>
      <c r="Q4" s="20">
        <v>25</v>
      </c>
      <c r="R4" s="21">
        <v>0.5</v>
      </c>
      <c r="S4" s="22">
        <f>Majorette_Solo_AccessoriesSolo_Junior[[#This Row],[Judge 3
Tea Softić]]-R4</f>
        <v>24.5</v>
      </c>
      <c r="T4" s="23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Row],[Category]],Majorette_Solo_AccessoriesSolo_Junior[J3 TOTAL],"&gt;"&amp;Majorette_Solo_AccessoriesSolo_Junior[[#This Row],[J3 TOTAL]])+1</f>
        <v>3</v>
      </c>
      <c r="U4" s="20"/>
      <c r="V4" s="21"/>
      <c r="W4" s="22">
        <f>Majorette_Solo_AccessoriesSolo_Junior[[#This Row],[Judge 4
Bernard Barač]]-V4</f>
        <v>0</v>
      </c>
      <c r="X4" s="23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Row],[Category]],Majorette_Solo_AccessoriesSolo_Junior[J4 TOTAL],"&gt;"&amp;Majorette_Solo_AccessoriesSolo_Junior[[#This Row],[J4 TOTAL]])+1</f>
        <v>1</v>
      </c>
      <c r="Y4" s="20"/>
      <c r="Z4" s="21"/>
      <c r="AA4" s="22">
        <f>Majorette_Solo_AccessoriesSolo_Junior[[#This Row],[Judge 5
Barbara Novina]]-Z4</f>
        <v>0</v>
      </c>
      <c r="AB4" s="23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Row],[Category]],Majorette_Solo_AccessoriesSolo_Junior[J5 TOTAL],"&gt;"&amp;Majorette_Solo_AccessoriesSolo_Junior[[#This Row],[J5 TOTAL]])+1</f>
        <v>1</v>
      </c>
      <c r="AC4" s="24">
        <f>SUM(Majorette_Solo_AccessoriesSolo_Junior[[#This Row],[J1 TOTAL]]+Majorette_Solo_AccessoriesSolo_Junior[[#This Row],[J2 TOTAL]]+Majorette_Solo_AccessoriesSolo_Junior[[#This Row],[J3 TOTAL]]+Majorette_Solo_AccessoriesSolo_Junior[[#This Row],[J4 TOTAL]])+Majorette_Solo_AccessoriesSolo_Junior[[#This Row],[J5 TOTAL]]</f>
        <v>46</v>
      </c>
      <c r="AD4" s="24"/>
      <c r="AE4" s="24"/>
      <c r="AF4" s="24">
        <f>SUM(Majorette_Solo_AccessoriesSolo_Junior[[#This Row],[Total]]-Majorette_Solo_AccessoriesSolo_Junior[[#This Row],[Low]]-Majorette_Solo_AccessoriesSolo_Junior[[#This Row],[High]])</f>
        <v>46</v>
      </c>
      <c r="AG4" s="24">
        <f>AVERAGE(I4,M4,Q4,U4,Y4)</f>
        <v>23.5</v>
      </c>
      <c r="AH4" s="25">
        <f>Majorette_Solo_AccessoriesSolo_Junior[[#This Row],[Final Total]]</f>
        <v>46</v>
      </c>
      <c r="AI4" s="26">
        <f>COUNTIFS(Majorette_Solo_AccessoriesSolo_Junior[Age
Division],Majorette_Solo_AccessoriesSolo_Junior[[#This Row],[Age
Division]],Majorette_Solo_AccessoriesSolo_Junior[Category],Majorette_Solo_AccessoriesSolo_Junior[[#This Row],[Category]],Majorette_Solo_AccessoriesSolo_Junior[FINAL SCORE],"&gt;"&amp;Majorette_Solo_AccessoriesSolo_Junior[[#This Row],[FINAL SCORE]])+1</f>
        <v>3</v>
      </c>
      <c r="AJ4" s="16" t="s">
        <v>33</v>
      </c>
    </row>
  </sheetData>
  <sheetProtection algorithmName="SHA-512" hashValue="pxSJPUYNAItx66nSvLaoXf5EFMI2Iz2kvsAiI1l43bX19YRbCjlXOYhOSEP0tyNPwVHJzfU2VHu+qi1HnauYYg==" saltValue="mx8U4bdtnK7A7f+eA/GRpw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7BEAA-9358-485D-83D0-61E4B13434C6}">
  <dimension ref="A1:BC2"/>
  <sheetViews>
    <sheetView zoomScale="80" zoomScaleNormal="80" workbookViewId="0">
      <pane xSplit="8" topLeftCell="I1" activePane="topRight" state="frozen"/>
      <selection activeCell="U2" sqref="U2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4.44140625" style="29" customWidth="1"/>
    <col min="4" max="4" width="12.5546875" style="30" customWidth="1"/>
    <col min="5" max="5" width="16.33203125" style="30" hidden="1" customWidth="1"/>
    <col min="6" max="6" width="13.44140625" style="19" customWidth="1"/>
    <col min="7" max="7" width="27.88671875" style="19" customWidth="1"/>
    <col min="8" max="8" width="14" style="19" customWidth="1"/>
    <col min="9" max="12" width="9.109375" style="19" customWidth="1"/>
    <col min="13" max="16" width="9.109375" style="19" hidden="1" customWidth="1"/>
    <col min="17" max="20" width="9.109375" style="19" customWidth="1"/>
    <col min="21" max="28" width="9.109375" style="19" hidden="1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48</v>
      </c>
      <c r="B2" s="17">
        <v>1</v>
      </c>
      <c r="C2" s="17" t="s">
        <v>111</v>
      </c>
      <c r="D2" s="17" t="s">
        <v>30</v>
      </c>
      <c r="E2" s="17"/>
      <c r="F2" s="17" t="s">
        <v>112</v>
      </c>
      <c r="G2" s="17" t="s">
        <v>67</v>
      </c>
      <c r="H2" s="19" t="s">
        <v>25</v>
      </c>
      <c r="I2" s="20">
        <v>14.1</v>
      </c>
      <c r="J2" s="21">
        <v>0.5</v>
      </c>
      <c r="K2" s="22">
        <f>Majorette_Solo_PomponSolo_Children[[#This Row],[Judge 1
Tamara Beljak]]-J2</f>
        <v>13.6</v>
      </c>
      <c r="L2" s="23">
        <f>COUNTIFS(Majorette_Solo_PomponSolo_Children[Age
Division],Majorette_Solo_PomponSolo_Children[[#This Row],[Age
Division]],Majorette_Solo_PomponSolo_Children[Category],Majorette_Solo_PomponSolo_Children[[#This Row],[Category]],Majorette_Solo_PomponSolo_Children[J1 TOTAL],"&gt;"&amp;Majorette_Solo_PomponSolo_Children[[#This Row],[J1 TOTAL]])+1</f>
        <v>1</v>
      </c>
      <c r="M2" s="20"/>
      <c r="N2" s="21"/>
      <c r="O2" s="22">
        <f>Majorette_Solo_PomponSolo_Children[[#This Row],[Judge 2
Tihomir Bendelja]]-Majorette_Solo_PomponSolo_Children[[#This Row],[J2 (-)]]</f>
        <v>0</v>
      </c>
      <c r="P2" s="23">
        <f>COUNTIFS(Majorette_Solo_PomponSolo_Children[Age
Division],Majorette_Solo_PomponSolo_Children[[#This Row],[Age
Division]],Majorette_Solo_PomponSolo_Children[Category],Majorette_Solo_PomponSolo_Children[[#This Row],[Category]],Majorette_Solo_PomponSolo_Children[J2 TOTAL],"&gt;"&amp;Majorette_Solo_PomponSolo_Children[[#This Row],[J2 TOTAL]])+1</f>
        <v>1</v>
      </c>
      <c r="Q2" s="20">
        <v>10.6</v>
      </c>
      <c r="R2" s="21">
        <v>0</v>
      </c>
      <c r="S2" s="22">
        <f>Majorette_Solo_PomponSolo_Children[[#This Row],[Judge 3
Tea Softić]]-R2</f>
        <v>10.6</v>
      </c>
      <c r="T2" s="23">
        <f>COUNTIFS(Majorette_Solo_PomponSolo_Children[Age
Division],Majorette_Solo_PomponSolo_Children[[#This Row],[Age
Division]],Majorette_Solo_PomponSolo_Children[Category],Majorette_Solo_PomponSolo_Children[[#This Row],[Category]],Majorette_Solo_PomponSolo_Children[J3 TOTAL],"&gt;"&amp;Majorette_Solo_PomponSolo_Children[[#This Row],[J3 TOTAL]])+1</f>
        <v>1</v>
      </c>
      <c r="U2" s="20"/>
      <c r="V2" s="21"/>
      <c r="W2" s="22">
        <f>Majorette_Solo_PomponSolo_Children[[#This Row],[Judge 4
Bernard Barač]]-V2</f>
        <v>0</v>
      </c>
      <c r="X2" s="23">
        <f>COUNTIFS(Majorette_Solo_PomponSolo_Children[Age
Division],Majorette_Solo_PomponSolo_Children[[#This Row],[Age
Division]],Majorette_Solo_PomponSolo_Children[Category],Majorette_Solo_PomponSolo_Children[[#This Row],[Category]],Majorette_Solo_PomponSolo_Children[J4 TOTAL],"&gt;"&amp;Majorette_Solo_PomponSolo_Children[[#This Row],[J4 TOTAL]])+1</f>
        <v>1</v>
      </c>
      <c r="Y2" s="20"/>
      <c r="Z2" s="21"/>
      <c r="AA2" s="22">
        <f>Majorette_Solo_PomponSolo_Children[[#This Row],[Judge 5
Barbara Novina]]-Z2</f>
        <v>0</v>
      </c>
      <c r="AB2" s="23">
        <f>COUNTIFS(Majorette_Solo_PomponSolo_Children[Age
Division],Majorette_Solo_PomponSolo_Children[[#This Row],[Age
Division]],Majorette_Solo_PomponSolo_Children[Category],Majorette_Solo_PomponSolo_Children[[#This Row],[Category]],Majorette_Solo_PomponSolo_Children[J5 TOTAL],"&gt;"&amp;Majorette_Solo_PomponSolo_Children[[#This Row],[J5 TOTAL]])+1</f>
        <v>1</v>
      </c>
      <c r="AC2" s="24">
        <f>SUM(Majorette_Solo_PomponSolo_Children[[#This Row],[J1 TOTAL]]+Majorette_Solo_PomponSolo_Children[[#This Row],[J2 TOTAL]]+Majorette_Solo_PomponSolo_Children[[#This Row],[J3 TOTAL]]+Majorette_Solo_PomponSolo_Children[[#This Row],[J4 TOTAL]])+Majorette_Solo_PomponSolo_Children[[#This Row],[J5 TOTAL]]</f>
        <v>24.2</v>
      </c>
      <c r="AD2" s="24"/>
      <c r="AE2" s="24"/>
      <c r="AF2" s="24">
        <f>SUM(Majorette_Solo_PomponSolo_Children[[#This Row],[Total]]-Majorette_Solo_PomponSolo_Children[[#This Row],[Low]]-Majorette_Solo_PomponSolo_Children[[#This Row],[High]])</f>
        <v>24.2</v>
      </c>
      <c r="AG2" s="24">
        <f>AVERAGE(I2,M2,Q2,U2,Y2)</f>
        <v>12.35</v>
      </c>
      <c r="AH2" s="25">
        <f>Majorette_Solo_PomponSolo_Children[[#This Row],[Final Total]]</f>
        <v>24.2</v>
      </c>
      <c r="AI2" s="28">
        <f>COUNTIFS(Majorette_Solo_PomponSolo_Children[Age
Division],Majorette_Solo_PomponSolo_Children[[#This Row],[Age
Division]],Majorette_Solo_PomponSolo_Children[Category],Majorette_Solo_PomponSolo_Children[[#This Row],[Category]],Majorette_Solo_PomponSolo_Children[FINAL SCORE],"&gt;"&amp;Majorette_Solo_PomponSolo_Children[[#This Row],[FINAL SCORE]])+1</f>
        <v>1</v>
      </c>
      <c r="AJ2" s="16" t="s">
        <v>33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RBPSvuYWYSxNO7+C9bpVsqYlMYywUVKgZrBmzl2vxSsPOYAU3tA9y74ALZc0sg8ev8WX8/HQbpOju4HAW4r8bw==" saltValue="5kyw1MzAvxp7KDsFjUVK/g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7A03B-F658-4193-A442-246D0FE7490D}">
  <dimension ref="A1:BC2"/>
  <sheetViews>
    <sheetView zoomScale="80" zoomScaleNormal="80" workbookViewId="0">
      <pane xSplit="8" topLeftCell="M1" activePane="topRight" state="frozen"/>
      <selection activeCell="R26" sqref="R26"/>
      <selection pane="topRight" sqref="A1:XFD1048576"/>
    </sheetView>
  </sheetViews>
  <sheetFormatPr defaultColWidth="9.109375" defaultRowHeight="14.4" x14ac:dyDescent="0.3"/>
  <cols>
    <col min="1" max="1" width="5.44140625" style="29" customWidth="1"/>
    <col min="2" max="2" width="4.44140625" style="29" customWidth="1"/>
    <col min="3" max="3" width="12.6640625" style="29" customWidth="1"/>
    <col min="4" max="4" width="7.77734375" style="30" customWidth="1"/>
    <col min="5" max="5" width="16.33203125" style="30" hidden="1" customWidth="1"/>
    <col min="6" max="6" width="12.77734375" style="19" customWidth="1"/>
    <col min="7" max="7" width="26.5546875" style="19" customWidth="1"/>
    <col min="8" max="8" width="14" style="19" customWidth="1"/>
    <col min="9" max="12" width="9.109375" style="19" hidden="1" customWidth="1"/>
    <col min="13" max="16" width="9.109375" style="19" customWidth="1"/>
    <col min="17" max="20" width="9.109375" style="19" hidden="1" customWidth="1"/>
    <col min="21" max="28" width="9.109375" style="19" customWidth="1"/>
    <col min="29" max="29" width="9.109375" style="14" customWidth="1"/>
    <col min="30" max="31" width="9.6640625" style="19" hidden="1" customWidth="1"/>
    <col min="32" max="33" width="9.6640625" style="19" customWidth="1"/>
    <col min="34" max="34" width="7.5546875" style="19" customWidth="1"/>
    <col min="35" max="35" width="8.44140625" style="19" customWidth="1"/>
    <col min="36" max="36" width="0" style="19" hidden="1" customWidth="1"/>
    <col min="37" max="16384" width="9.109375" style="19"/>
  </cols>
  <sheetData>
    <row r="1" spans="1:55" s="15" customFormat="1" ht="40.5" customHeight="1" x14ac:dyDescent="0.3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40</v>
      </c>
      <c r="L1" s="9" t="s">
        <v>7</v>
      </c>
      <c r="M1" s="10" t="s">
        <v>8</v>
      </c>
      <c r="N1" s="10" t="s">
        <v>9</v>
      </c>
      <c r="O1" s="10" t="s">
        <v>37</v>
      </c>
      <c r="P1" s="10" t="s">
        <v>10</v>
      </c>
      <c r="Q1" s="9" t="s">
        <v>42</v>
      </c>
      <c r="R1" s="9" t="s">
        <v>11</v>
      </c>
      <c r="S1" s="9" t="s">
        <v>38</v>
      </c>
      <c r="T1" s="9" t="s">
        <v>12</v>
      </c>
      <c r="U1" s="10" t="s">
        <v>22</v>
      </c>
      <c r="V1" s="10" t="s">
        <v>13</v>
      </c>
      <c r="W1" s="10" t="s">
        <v>39</v>
      </c>
      <c r="X1" s="10" t="s">
        <v>14</v>
      </c>
      <c r="Y1" s="9" t="s">
        <v>43</v>
      </c>
      <c r="Z1" s="9" t="s">
        <v>44</v>
      </c>
      <c r="AA1" s="9" t="s">
        <v>45</v>
      </c>
      <c r="AB1" s="9" t="s">
        <v>46</v>
      </c>
      <c r="AC1" s="11" t="s">
        <v>16</v>
      </c>
      <c r="AD1" s="11" t="s">
        <v>34</v>
      </c>
      <c r="AE1" s="11" t="s">
        <v>35</v>
      </c>
      <c r="AF1" s="11" t="s">
        <v>36</v>
      </c>
      <c r="AG1" s="11" t="s">
        <v>15</v>
      </c>
      <c r="AH1" s="12" t="s">
        <v>17</v>
      </c>
      <c r="AI1" s="13" t="s">
        <v>18</v>
      </c>
      <c r="AJ1" s="12" t="s">
        <v>41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x14ac:dyDescent="0.3">
      <c r="A2" s="16">
        <v>47</v>
      </c>
      <c r="B2" s="17">
        <v>2</v>
      </c>
      <c r="C2" s="17" t="s">
        <v>111</v>
      </c>
      <c r="D2" s="17" t="s">
        <v>23</v>
      </c>
      <c r="E2" s="17"/>
      <c r="F2" s="17" t="s">
        <v>113</v>
      </c>
      <c r="G2" s="17" t="s">
        <v>67</v>
      </c>
      <c r="H2" s="19" t="s">
        <v>25</v>
      </c>
      <c r="I2" s="20"/>
      <c r="J2" s="21"/>
      <c r="K2" s="22">
        <f>Majorette_Solo_PomponSolo_Cadet[[#This Row],[Judge 1
Tamara Beljak]]-J2</f>
        <v>0</v>
      </c>
      <c r="L2" s="23">
        <f>COUNTIFS(Majorette_Solo_PomponSolo_Cadet[Age
Division],Majorette_Solo_PomponSolo_Cadet[[#This Row],[Age
Division]],Majorette_Solo_PomponSolo_Cadet[Category],Majorette_Solo_PomponSolo_Cadet[[#This Row],[Category]],Majorette_Solo_PomponSolo_Cadet[J1 TOTAL],"&gt;"&amp;Majorette_Solo_PomponSolo_Cadet[[#This Row],[J1 TOTAL]])+1</f>
        <v>1</v>
      </c>
      <c r="M2" s="20">
        <v>17.3</v>
      </c>
      <c r="N2" s="21">
        <v>1</v>
      </c>
      <c r="O2" s="22">
        <f>Majorette_Solo_PomponSolo_Cadet[[#This Row],[Judge 2
Tihomir Bendelja]]-Majorette_Solo_PomponSolo_Cadet[[#This Row],[J2 (-)]]</f>
        <v>16.3</v>
      </c>
      <c r="P2" s="23">
        <f>COUNTIFS(Majorette_Solo_PomponSolo_Cadet[Age
Division],Majorette_Solo_PomponSolo_Cadet[[#This Row],[Age
Division]],Majorette_Solo_PomponSolo_Cadet[Category],Majorette_Solo_PomponSolo_Cadet[[#This Row],[Category]],Majorette_Solo_PomponSolo_Cadet[J2 TOTAL],"&gt;"&amp;Majorette_Solo_PomponSolo_Cadet[[#This Row],[J2 TOTAL]])+1</f>
        <v>1</v>
      </c>
      <c r="Q2" s="20"/>
      <c r="R2" s="21"/>
      <c r="S2" s="22">
        <f>Majorette_Solo_PomponSolo_Cadet[[#This Row],[Judge 3
Tea Softić]]-R2</f>
        <v>0</v>
      </c>
      <c r="T2" s="23">
        <f>COUNTIFS(Majorette_Solo_PomponSolo_Cadet[Age
Division],Majorette_Solo_PomponSolo_Cadet[[#This Row],[Age
Division]],Majorette_Solo_PomponSolo_Cadet[Category],Majorette_Solo_PomponSolo_Cadet[[#This Row],[Category]],Majorette_Solo_PomponSolo_Cadet[J3 TOTAL],"&gt;"&amp;Majorette_Solo_PomponSolo_Cadet[[#This Row],[J3 TOTAL]])+1</f>
        <v>1</v>
      </c>
      <c r="U2" s="20">
        <v>14.5</v>
      </c>
      <c r="V2" s="21">
        <v>1</v>
      </c>
      <c r="W2" s="22">
        <f>Majorette_Solo_PomponSolo_Cadet[[#This Row],[Judge 4
Bernard Barač]]-V2</f>
        <v>13.5</v>
      </c>
      <c r="X2" s="23">
        <f>COUNTIFS(Majorette_Solo_PomponSolo_Cadet[Age
Division],Majorette_Solo_PomponSolo_Cadet[[#This Row],[Age
Division]],Majorette_Solo_PomponSolo_Cadet[Category],Majorette_Solo_PomponSolo_Cadet[[#This Row],[Category]],Majorette_Solo_PomponSolo_Cadet[J4 TOTAL],"&gt;"&amp;Majorette_Solo_PomponSolo_Cadet[[#This Row],[J4 TOTAL]])+1</f>
        <v>1</v>
      </c>
      <c r="Y2" s="20">
        <v>13.1</v>
      </c>
      <c r="Z2" s="21">
        <v>1</v>
      </c>
      <c r="AA2" s="22">
        <f>Majorette_Solo_PomponSolo_Cadet[[#This Row],[Judge 5
Barbara Novina]]-Z2</f>
        <v>12.1</v>
      </c>
      <c r="AB2" s="23">
        <f>COUNTIFS(Majorette_Solo_PomponSolo_Cadet[Age
Division],Majorette_Solo_PomponSolo_Cadet[[#This Row],[Age
Division]],Majorette_Solo_PomponSolo_Cadet[Category],Majorette_Solo_PomponSolo_Cadet[[#This Row],[Category]],Majorette_Solo_PomponSolo_Cadet[J5 TOTAL],"&gt;"&amp;Majorette_Solo_PomponSolo_Cadet[[#This Row],[J5 TOTAL]])+1</f>
        <v>1</v>
      </c>
      <c r="AC2" s="24">
        <f>SUM(Majorette_Solo_PomponSolo_Cadet[[#This Row],[J1 TOTAL]]+Majorette_Solo_PomponSolo_Cadet[[#This Row],[J2 TOTAL]]+Majorette_Solo_PomponSolo_Cadet[[#This Row],[J3 TOTAL]]+Majorette_Solo_PomponSolo_Cadet[[#This Row],[J4 TOTAL]])+Majorette_Solo_PomponSolo_Cadet[[#This Row],[J5 TOTAL]]</f>
        <v>41.9</v>
      </c>
      <c r="AD2" s="24"/>
      <c r="AE2" s="24"/>
      <c r="AF2" s="24">
        <f>SUM(Majorette_Solo_PomponSolo_Cadet[[#This Row],[Total]]-Majorette_Solo_PomponSolo_Cadet[[#This Row],[Low]]-Majorette_Solo_PomponSolo_Cadet[[#This Row],[High]])</f>
        <v>41.9</v>
      </c>
      <c r="AG2" s="24">
        <f>AVERAGE(I2,M2,Q2,U2,Y2)</f>
        <v>14.966666666666667</v>
      </c>
      <c r="AH2" s="25">
        <f>Majorette_Solo_PomponSolo_Cadet[[#This Row],[Final Total]]</f>
        <v>41.9</v>
      </c>
      <c r="AI2" s="28">
        <f>COUNTIFS(Majorette_Solo_PomponSolo_Cadet[Age
Division],Majorette_Solo_PomponSolo_Cadet[[#This Row],[Age
Division]],Majorette_Solo_PomponSolo_Cadet[Category],Majorette_Solo_PomponSolo_Cadet[[#This Row],[Category]],Majorette_Solo_PomponSolo_Cadet[FINAL SCORE],"&gt;"&amp;Majorette_Solo_PomponSolo_Cadet[[#This Row],[FINAL SCORE]])+1</f>
        <v>1</v>
      </c>
      <c r="AJ2" s="16" t="s">
        <v>33</v>
      </c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</sheetData>
  <sheetProtection algorithmName="SHA-512" hashValue="Lm5X+xw+9aEy90ItgdOu0AqyEGwzp/8CuH/4lB6O8oTFwP9VQy9zuB/O6mZw+FeSH8QDEXWUBUc4PcLbb00olg==" saltValue="GZ8pMtl4p4cdyQtzFRQLZw==" spinCount="100000"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7 9 6 8 c 4 0 - e f 6 4 - 4 5 3 2 - 8 d a f - a e e b d d 3 f 9 3 e 5 "   x m l n s = " h t t p : / / s c h e m a s . m i c r o s o f t . c o m / D a t a M a s h u p " > A A A A A J 4 G A A B Q S w M E F A A C A A g A c A f I V n v v M h m l A A A A 9 g A A A B I A H A B D b 2 5 m a W c v U G F j a 2 F n Z S 5 4 b W w g o h g A K K A U A A A A A A A A A A A A A A A A A A A A A A A A A A A A h Y 8 9 D o I w A I W v Q r r T P x I 1 p J T B x U E S o 4 l x b U q F R i i m L Z a 7 O X g k r y B G U T f H 9 7 1 v e O 9 + v b F 8 a J v o o q z T n c k A g R h E y s i u 1 K b K Q O + P 8 Q L k n G 2 E P I l K R a N s X D q 4 M g O 1 9 + c U o R A C D A n s b I U o x g Q d i v V O 1 q o V 4 C P r / 3 K s j f P C S A U 4 2 7 / G c A o J m c N k R i F m a I K s 0 O Y r 0 H H v s / 2 B b N k 3 v r e K 1 z Z e b R m a I k P v D / w B U E s D B B Q A A g A I A H A H y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w B 8 h W B s B v S p c D A A D t E Q A A E w A c A E Z v c m 1 1 b G F z L 1 N l Y 3 R p b 2 4 x L m 0 g o h g A K K A U A A A A A A A A A A A A A A A A A A A A A A A A A A A A 7 V j L T h s x F N 0 j 8 Q / W I K F E C p H y 6 q K o i 5 B A C w p J y 4 z U B U L I y Z j E M G N H H k 8 A o a 6 7 6 l / x Y f U j m f f D Y d u y Y M b 3 3 n P u u X 7 c s R K g B c e U A F s / O 6 e H B 4 c H w Q o y 5 I I j 6 0 e I 2 C s Y T i Y W + A I 8 x A 8 P g P i z a c g W S F j O X x b I a 4 9 C x h D h P y l 7 m l P 6 1 G i 2 d N i R d Y E 9 j i T T D X 0 O J I U D 5 x 5 q 2 8 g T 2 a S t o a l a A M H F C j R u p 9 B H d y L O u o a P l C H O 0 f 0 4 p P f D x Q I F A W U Y B X I 4 g i 7 i F q A M m A J W 2 H O F x n 0 w V y H B l O 2 D s F E t I h q J g c O w o b I c y k B b D m O g 7 j v 1 1 5 R E 0 m p n O R N v U k o a Y l B H G l B T x F d G w / X 9 h Q e X w f 1 s X S F F B 6 r / 1 / i l p l Q d f E 1 d x E h k 1 c Y P A 2 s q L 0 Q 6 C P o f y a h x d a t T D j X S q t f J f F Z S 8 W b a k p C 9 N V 1 j g o 3 C z U u 2 V / R 5 D M k C G R W c i D Y r N w b s q c a g 1 D j Y 6 E Q 5 D L p Y f h 6 g 9 4 E D U I E 2 m 4 l y g s p S b e q l e r Q a V w s u h t S p L E T V L J q K i Y a m 0 j I A I 2 F p z P 6 y a n a I i t F H x 7 S K Z L R R C Q m A i f 5 E + F Z 8 M 7 6 T n L + s I X H F n W R E C R f X l v h a o j 3 q f U S 9 0 C e N 7 A 2 m B a w d q g X e L J t D x s G U t q V j A g l S A Z C j J W W v 8 n 2 4 R E c N 7 6 E 5 x h s c i P 2 r 4 t A G e c r J V + J G p T F e O N f k I e E a e h W 6 S w Q 6 C u 5 A H z I I z p D 3 C J + U s w M a J 8 3 t m z N z h p O d 9 Q a S p 2 a M 7 2 o 8 X l E f M 0 E g C h c c y t + N K L o J i m 6 O o q c p E B T X v g e O 3 3 8 r V y 9 C 9 x L o X g 7 d V + g z 8 U 2 B z A V n o o z 3 P 8 r b j w j 6 C Y J + j m C g C S C b y y m Y 0 g 0 m W v 8 g I h g k C A Y J A o d y q G Z 6 Q p / l 4 x t e r u T z Q l B 4 I P I O N 0 t l v Z w O J 8 A e z W 7 O 5 V C y J J c T O K 9 r Z P 3 6 v + z / 5 L L H 7 W O 0 g m Q p + o G y R 6 1 D f K F I 8 E C Z r x u H d A a N g l 7 T e n v b p b g k / F O / L S P V p k r r 4 M I M S O j P E V N e L T Z r T V e U 9 W 7 r z p r 1 r G S t Z S S J W S 5 w 6 a X I O a p W s I h l t 3 S Z K U l u i 7 y r V F a / U l b J z s w F 9 8 p z 9 8 p z 9 y p z F 5 2 p X G S 3 P H G 3 P H G 3 M n F p P 8 i F d 8 p T d C p T F L e s I p K S 6 u I m q E A c v X B t 1 0 0 y b d x 1 0 7 S 1 o O 9 m u O I m n e H T X T w j K d n o E 6 5 E N x i 6 6 n S H A a d + 3 A 2 E N b p A p P q F b C y z q T 2 b X I 6 H z v n Y 2 v 7 u c b v T d X d s A e v 4 9 i h f i f S c S J + c j m 3 Y d s b E 6 L M c b j 8 s d 8 3 D A 0 w K B Z 7 + B V B L A Q I t A B Q A A g A I A H A H y F Z 7 7 z I Z p Q A A A P Y A A A A S A A A A A A A A A A A A A A A A A A A A A A B D b 2 5 m a W c v U G F j a 2 F n Z S 5 4 b W x Q S w E C L Q A U A A I A C A B w B 8 h W D 8 r p q 6 Q A A A D p A A A A E w A A A A A A A A A A A A A A A A D x A A A A W 0 N v b n R l b n R f V H l w Z X N d L n h t b F B L A Q I t A B Q A A g A I A H A H y F Y G w G 9 K l w M A A O 0 R A A A T A A A A A A A A A A A A A A A A A O I B A A B G b 3 J t d W x h c y 9 T Z W N 0 a W 9 u M S 5 t U E s F B g A A A A A D A A M A w g A A A M Y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c e A A A A A A A A l R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F 1 Z X J 5 J T I w Q U x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R h Y m x l X 1 F 1 Z X J 5 X 0 F M T C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1 N 0 Y X J 0 I E 5 v L i Z x d W 9 0 O y w m c X V v d D t M Y W 5 l J n F 1 b 3 Q 7 L C Z x d W 9 0 O 0 N h d G V n b 3 J 5 J n F 1 b 3 Q 7 L C Z x d W 9 0 O 0 F n Z V x u R G l 2 a X N p b 2 4 m c X V v d D s s J n F 1 b 3 Q 7 T G V 2 Z W w m c X V v d D s s J n F 1 b 3 Q 7 Q X R o b G V 0 Z S Z x d W 9 0 O y w m c X V v d D t D b H V i J n F 1 b 3 Q 7 L C Z x d W 9 0 O 0 N v d W 5 0 c n k m c X V v d D s s J n F 1 b 3 Q 7 S n V k Z 2 U g M V x u V G F t Y X J h I E J l b G p h a y Z x d W 9 0 O y w m c X V v d D t K M S A o L S k m c X V v d D s s J n F 1 b 3 Q 7 S j E g V E 9 U Q U w m c X V v d D s s J n F 1 b 3 Q 7 S j E g K F J h b m s p J n F 1 b 3 Q 7 L C Z x d W 9 0 O 0 p 1 Z G d l I D J c b l R p a G 9 t a X I g Q m V u Z G V s a m E m c X V v d D s s J n F 1 b 3 Q 7 S j I g K C 0 p J n F 1 b 3 Q 7 L C Z x d W 9 0 O 0 o y I F R P V E F M J n F 1 b 3 Q 7 L C Z x d W 9 0 O 0 o y I C h S Y W 5 r K S Z x d W 9 0 O y w m c X V v d D t K d W R n Z S A z X G 5 U Z W E g U 2 9 m d G n E h y Z x d W 9 0 O y w m c X V v d D t K M y A o L S k m c X V v d D s s J n F 1 b 3 Q 7 S j M g V E 9 U Q U w m c X V v d D s s J n F 1 b 3 Q 7 S j M g K F J h b m s p J n F 1 b 3 Q 7 L C Z x d W 9 0 O 0 p 1 Z G d l I D R c b k J l c m 5 h c m Q g Q m F y Y c S N J n F 1 b 3 Q 7 L C Z x d W 9 0 O 0 o 0 I C g t K S Z x d W 9 0 O y w m c X V v d D t K N C B U T 1 R B T C Z x d W 9 0 O y w m c X V v d D t K N C A o U m F u a y k m c X V v d D s s J n F 1 b 3 Q 7 S n V k Z 2 U g N V x u Q m F y Y m F y Y S B O b 3 Z p b m E m c X V v d D s s J n F 1 b 3 Q 7 S j U g K C 0 p J n F 1 b 3 Q 7 L C Z x d W 9 0 O 0 o 1 I F R P V E F M J n F 1 b 3 Q 7 L C Z x d W 9 0 O 0 o 1 I C h S Y W 5 r K S Z x d W 9 0 O y w m c X V v d D t U b 3 R h b C Z x d W 9 0 O y w m c X V v d D t M b 3 c m c X V v d D s s J n F 1 b 3 Q 7 S G l n a C Z x d W 9 0 O y w m c X V v d D t G a W 5 h b C B U b 3 R h b C Z x d W 9 0 O y w m c X V v d D t B d m c m c X V v d D s s J n F 1 b 3 Q 7 R k l O Q U w g U 0 N P U k U m c X V v d D s s J n F 1 b 3 Q 7 U m F u a y Z x d W 9 0 O y w m c X V v d D t D Y X R l Z 2 9 y e S B U e X B l J n F 1 b 3 Q 7 L C Z x d W 9 0 O 0 5 h b W U m c X V v d D s s J n F 1 b 3 Q 7 Q 0 9 O U 0 9 M S U R B V E V E J n F 1 b 3 Q 7 X S I g L z 4 8 R W 5 0 c n k g V H l w Z T 0 i R m l s b E N v b H V t b l R 5 c G V z I i B W Y W x 1 Z T 0 i c 0 F 3 T U d C Z 1 l B Q m d Z R k J R V U R C U V V G Q X d V R k J R T U Z C U V V E Q l F V R k F 3 V U Z C U V V G Q l F N Q U J n Q T 0 i I C 8 + P E V u d H J 5 I F R 5 c G U 9 I k Z p b G x M Y X N 0 V X B k Y X R l Z C I g V m F s d W U 9 I m Q y M D I z L T A 2 L T A 3 V D I y O j U 2 O j M 3 L j Y y M j E 5 N j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5 M i I g L z 4 8 R W 5 0 c n k g V H l w Z T 0 i Q W R k Z W R U b 0 R h d G F N b 2 R l b C I g V m F s d W U 9 I m w w I i A v P j x F b n R y e S B U e X B l P S J R d W V y e U l E I i B W Y W x 1 Z T 0 i c z g 3 N j Y 2 N m U 5 L W Y 2 O D g t N G Y 5 M S 1 h M D M 3 L W N i Z m E y N m U z M m Z m N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I E F M T C 9 D a G F u Z 2 V k I F R 5 c G U u e 1 N 0 Y X J 0 I E 5 v L i w w f S Z x d W 9 0 O y w m c X V v d D t T Z W N 0 a W 9 u M S 9 R d W V y e S B B T E w v Q 2 h h b m d l Z C B U e X B l L n t M Y W 5 l L D F 9 J n F 1 b 3 Q 7 L C Z x d W 9 0 O 1 N l Y 3 R p b 2 4 x L 1 F 1 Z X J 5 I E F M T C 9 D a G F u Z 2 V k I F R 5 c G U u e 0 N h d G V n b 3 J 5 L D J 9 J n F 1 b 3 Q 7 L C Z x d W 9 0 O 1 N l Y 3 R p b 2 4 x L 1 F 1 Z X J 5 I E F M T C 9 D a G F u Z 2 V k I F R 5 c G U u e 0 F n Z V x u R G l 2 a X N p b 2 4 s M 3 0 m c X V v d D s s J n F 1 b 3 Q 7 U 2 V j d G l v b j E v U X V l c n k g Q U x M L 0 N o Y W 5 n Z W Q g V H l w Z S 5 7 T G V 2 Z W w s N H 0 m c X V v d D s s J n F 1 b 3 Q 7 U 2 V j d G l v b j E v U X V l c n k g Q U x M L 0 V 4 c G F u Z G V k I E N v b n R l b n Q u e 0 F 0 a G x l d G U s N X 0 m c X V v d D s s J n F 1 b 3 Q 7 U 2 V j d G l v b j E v U X V l c n k g Q U x M L 0 N o Y W 5 n Z W Q g V H l w Z S 5 7 Q 2 x 1 Y i w 2 f S Z x d W 9 0 O y w m c X V v d D t T Z W N 0 a W 9 u M S 9 R d W V y e S B B T E w v Q 2 h h b m d l Z C B U e X B l L n t D b 3 V u d H J 5 L D d 9 J n F 1 b 3 Q 7 L C Z x d W 9 0 O 1 N l Y 3 R p b 2 4 x L 1 F 1 Z X J 5 I E F M T C 9 D a G F u Z 2 V k I F R 5 c G U u e 0 p 1 Z G d l I D F c b l R h b W F y Y S B C Z W x q Y W s s O H 0 m c X V v d D s s J n F 1 b 3 Q 7 U 2 V j d G l v b j E v U X V l c n k g Q U x M L 0 N o Y W 5 n Z W Q g V H l w Z S 5 7 S j E g K C 0 p L D l 9 J n F 1 b 3 Q 7 L C Z x d W 9 0 O 1 N l Y 3 R p b 2 4 x L 1 F 1 Z X J 5 I E F M T C 9 D a G F u Z 2 V k I F R 5 c G U u e 0 o x I F R P V E F M L D E w f S Z x d W 9 0 O y w m c X V v d D t T Z W N 0 a W 9 u M S 9 R d W V y e S B B T E w v Q 2 h h b m d l Z C B U e X B l L n t K M S A o U m F u a y k s M T F 9 J n F 1 b 3 Q 7 L C Z x d W 9 0 O 1 N l Y 3 R p b 2 4 x L 1 F 1 Z X J 5 I E F M T C 9 D a G F u Z 2 V k I F R 5 c G U u e 0 p 1 Z G d l I D J c b l R p a G 9 t a X I g Q m V u Z G V s a m E s M T J 9 J n F 1 b 3 Q 7 L C Z x d W 9 0 O 1 N l Y 3 R p b 2 4 x L 1 F 1 Z X J 5 I E F M T C 9 D a G F u Z 2 V k I F R 5 c G U u e 0 o y I C g t K S w x M 3 0 m c X V v d D s s J n F 1 b 3 Q 7 U 2 V j d G l v b j E v U X V l c n k g Q U x M L 0 N o Y W 5 n Z W Q g V H l w Z S 5 7 S j I g V E 9 U Q U w s M T R 9 J n F 1 b 3 Q 7 L C Z x d W 9 0 O 1 N l Y 3 R p b 2 4 x L 1 F 1 Z X J 5 I E F M T C 9 D a G F u Z 2 V k I F R 5 c G U u e 0 o y I C h S Y W 5 r K S w x N X 0 m c X V v d D s s J n F 1 b 3 Q 7 U 2 V j d G l v b j E v U X V l c n k g Q U x M L 0 N o Y W 5 n Z W Q g V H l w Z S 5 7 S n V k Z 2 U g M 1 x u V G V h I F N v Z n R p x I c s M T Z 9 J n F 1 b 3 Q 7 L C Z x d W 9 0 O 1 N l Y 3 R p b 2 4 x L 1 F 1 Z X J 5 I E F M T C 9 D a G F u Z 2 V k I F R 5 c G U u e 0 o z I C g t K S w x N 3 0 m c X V v d D s s J n F 1 b 3 Q 7 U 2 V j d G l v b j E v U X V l c n k g Q U x M L 0 N o Y W 5 n Z W Q g V H l w Z S 5 7 S j M g V E 9 U Q U w s M T h 9 J n F 1 b 3 Q 7 L C Z x d W 9 0 O 1 N l Y 3 R p b 2 4 x L 1 F 1 Z X J 5 I E F M T C 9 D a G F u Z 2 V k I F R 5 c G U u e 0 o z I C h S Y W 5 r K S w x O X 0 m c X V v d D s s J n F 1 b 3 Q 7 U 2 V j d G l v b j E v U X V l c n k g Q U x M L 0 N o Y W 5 n Z W Q g V H l w Z S 5 7 S n V k Z 2 U g N F x u Q m V y b m F y Z C B C Y X J h x I 0 s M j B 9 J n F 1 b 3 Q 7 L C Z x d W 9 0 O 1 N l Y 3 R p b 2 4 x L 1 F 1 Z X J 5 I E F M T C 9 D a G F u Z 2 V k I F R 5 c G U u e 0 o 0 I C g t K S w y M X 0 m c X V v d D s s J n F 1 b 3 Q 7 U 2 V j d G l v b j E v U X V l c n k g Q U x M L 0 N o Y W 5 n Z W Q g V H l w Z S 5 7 S j Q g V E 9 U Q U w s M j J 9 J n F 1 b 3 Q 7 L C Z x d W 9 0 O 1 N l Y 3 R p b 2 4 x L 1 F 1 Z X J 5 I E F M T C 9 D a G F u Z 2 V k I F R 5 c G U u e 0 o 0 I C h S Y W 5 r K S w y M 3 0 m c X V v d D s s J n F 1 b 3 Q 7 U 2 V j d G l v b j E v U X V l c n k g Q U x M L 0 N o Y W 5 n Z W Q g V H l w Z S 5 7 S n V k Z 2 U g N V x u Q m F y Y m F y Y S B O b 3 Z p b m E s M j R 9 J n F 1 b 3 Q 7 L C Z x d W 9 0 O 1 N l Y 3 R p b 2 4 x L 1 F 1 Z X J 5 I E F M T C 9 D a G F u Z 2 V k I F R 5 c G U u e 0 o 1 I C g t K S w y N X 0 m c X V v d D s s J n F 1 b 3 Q 7 U 2 V j d G l v b j E v U X V l c n k g Q U x M L 0 N o Y W 5 n Z W Q g V H l w Z S 5 7 S j U g V E 9 U Q U w s M j Z 9 J n F 1 b 3 Q 7 L C Z x d W 9 0 O 1 N l Y 3 R p b 2 4 x L 1 F 1 Z X J 5 I E F M T C 9 D a G F u Z 2 V k I F R 5 c G U u e 0 o 1 I C h S Y W 5 r K S w y N 3 0 m c X V v d D s s J n F 1 b 3 Q 7 U 2 V j d G l v b j E v U X V l c n k g Q U x M L 0 N o Y W 5 n Z W Q g V H l w Z S 5 7 V G 9 0 Y W w s M j h 9 J n F 1 b 3 Q 7 L C Z x d W 9 0 O 1 N l Y 3 R p b 2 4 x L 1 F 1 Z X J 5 I E F M T C 9 D a G F u Z 2 V k I F R 5 c G U u e 0 x v d y w y O X 0 m c X V v d D s s J n F 1 b 3 Q 7 U 2 V j d G l v b j E v U X V l c n k g Q U x M L 0 N o Y W 5 n Z W Q g V H l w Z S 5 7 S G l n a C w z M H 0 m c X V v d D s s J n F 1 b 3 Q 7 U 2 V j d G l v b j E v U X V l c n k g Q U x M L 0 N o Y W 5 n Z W Q g V H l w Z S 5 7 R m l u Y W w g V G 9 0 Y W w s M z F 9 J n F 1 b 3 Q 7 L C Z x d W 9 0 O 1 N l Y 3 R p b 2 4 x L 1 F 1 Z X J 5 I E F M T C 9 D a G F u Z 2 V k I F R 5 c G U u e 0 F 2 Z y w z M n 0 m c X V v d D s s J n F 1 b 3 Q 7 U 2 V j d G l v b j E v U X V l c n k g Q U x M L 0 N o Y W 5 n Z W Q g V H l w Z S 5 7 R k l O Q U w g U 0 N P U k U s M z N 9 J n F 1 b 3 Q 7 L C Z x d W 9 0 O 1 N l Y 3 R p b 2 4 x L 1 F 1 Z X J 5 I E F M T C 9 D a G F u Z 2 V k I F R 5 c G U u e 1 J h b m s s M z R 9 J n F 1 b 3 Q 7 L C Z x d W 9 0 O 1 N l Y 3 R p b 2 4 x L 1 F 1 Z X J 5 I E F M T C 9 F e H B h b m R l Z C B D b 2 5 0 Z W 5 0 L n t D Y X R l Z 2 9 y e S B U e X B l L D M 1 f S Z x d W 9 0 O y w m c X V v d D t T Z W N 0 a W 9 u M S 9 R d W V y e S B B T E w v U 2 9 1 c m N l L n t O Y W 1 l L D F 9 J n F 1 b 3 Q 7 L C Z x d W 9 0 O 1 N l Y 3 R p b 2 4 x L 1 F 1 Z X J 5 I E F M T C 9 B Z G R l Z C B D d X N 0 b 2 0 u e 0 N P T l N P T E l E Q V R F R C w z N 3 0 m c X V v d D t d L C Z x d W 9 0 O 0 N v b H V t b k N v d W 5 0 J n F 1 b 3 Q 7 O j M 4 L C Z x d W 9 0 O 0 t l e U N v b H V t b k 5 h b W V z J n F 1 b 3 Q 7 O l t d L C Z x d W 9 0 O 0 N v b H V t b k l k Z W 5 0 a X R p Z X M m c X V v d D s 6 W y Z x d W 9 0 O 1 N l Y 3 R p b 2 4 x L 1 F 1 Z X J 5 I E F M T C 9 D a G F u Z 2 V k I F R 5 c G U u e 1 N 0 Y X J 0 I E 5 v L i w w f S Z x d W 9 0 O y w m c X V v d D t T Z W N 0 a W 9 u M S 9 R d W V y e S B B T E w v Q 2 h h b m d l Z C B U e X B l L n t M Y W 5 l L D F 9 J n F 1 b 3 Q 7 L C Z x d W 9 0 O 1 N l Y 3 R p b 2 4 x L 1 F 1 Z X J 5 I E F M T C 9 D a G F u Z 2 V k I F R 5 c G U u e 0 N h d G V n b 3 J 5 L D J 9 J n F 1 b 3 Q 7 L C Z x d W 9 0 O 1 N l Y 3 R p b 2 4 x L 1 F 1 Z X J 5 I E F M T C 9 D a G F u Z 2 V k I F R 5 c G U u e 0 F n Z V x u R G l 2 a X N p b 2 4 s M 3 0 m c X V v d D s s J n F 1 b 3 Q 7 U 2 V j d G l v b j E v U X V l c n k g Q U x M L 0 N o Y W 5 n Z W Q g V H l w Z S 5 7 T G V 2 Z W w s N H 0 m c X V v d D s s J n F 1 b 3 Q 7 U 2 V j d G l v b j E v U X V l c n k g Q U x M L 0 V 4 c G F u Z G V k I E N v b n R l b n Q u e 0 F 0 a G x l d G U s N X 0 m c X V v d D s s J n F 1 b 3 Q 7 U 2 V j d G l v b j E v U X V l c n k g Q U x M L 0 N o Y W 5 n Z W Q g V H l w Z S 5 7 Q 2 x 1 Y i w 2 f S Z x d W 9 0 O y w m c X V v d D t T Z W N 0 a W 9 u M S 9 R d W V y e S B B T E w v Q 2 h h b m d l Z C B U e X B l L n t D b 3 V u d H J 5 L D d 9 J n F 1 b 3 Q 7 L C Z x d W 9 0 O 1 N l Y 3 R p b 2 4 x L 1 F 1 Z X J 5 I E F M T C 9 D a G F u Z 2 V k I F R 5 c G U u e 0 p 1 Z G d l I D F c b l R h b W F y Y S B C Z W x q Y W s s O H 0 m c X V v d D s s J n F 1 b 3 Q 7 U 2 V j d G l v b j E v U X V l c n k g Q U x M L 0 N o Y W 5 n Z W Q g V H l w Z S 5 7 S j E g K C 0 p L D l 9 J n F 1 b 3 Q 7 L C Z x d W 9 0 O 1 N l Y 3 R p b 2 4 x L 1 F 1 Z X J 5 I E F M T C 9 D a G F u Z 2 V k I F R 5 c G U u e 0 o x I F R P V E F M L D E w f S Z x d W 9 0 O y w m c X V v d D t T Z W N 0 a W 9 u M S 9 R d W V y e S B B T E w v Q 2 h h b m d l Z C B U e X B l L n t K M S A o U m F u a y k s M T F 9 J n F 1 b 3 Q 7 L C Z x d W 9 0 O 1 N l Y 3 R p b 2 4 x L 1 F 1 Z X J 5 I E F M T C 9 D a G F u Z 2 V k I F R 5 c G U u e 0 p 1 Z G d l I D J c b l R p a G 9 t a X I g Q m V u Z G V s a m E s M T J 9 J n F 1 b 3 Q 7 L C Z x d W 9 0 O 1 N l Y 3 R p b 2 4 x L 1 F 1 Z X J 5 I E F M T C 9 D a G F u Z 2 V k I F R 5 c G U u e 0 o y I C g t K S w x M 3 0 m c X V v d D s s J n F 1 b 3 Q 7 U 2 V j d G l v b j E v U X V l c n k g Q U x M L 0 N o Y W 5 n Z W Q g V H l w Z S 5 7 S j I g V E 9 U Q U w s M T R 9 J n F 1 b 3 Q 7 L C Z x d W 9 0 O 1 N l Y 3 R p b 2 4 x L 1 F 1 Z X J 5 I E F M T C 9 D a G F u Z 2 V k I F R 5 c G U u e 0 o y I C h S Y W 5 r K S w x N X 0 m c X V v d D s s J n F 1 b 3 Q 7 U 2 V j d G l v b j E v U X V l c n k g Q U x M L 0 N o Y W 5 n Z W Q g V H l w Z S 5 7 S n V k Z 2 U g M 1 x u V G V h I F N v Z n R p x I c s M T Z 9 J n F 1 b 3 Q 7 L C Z x d W 9 0 O 1 N l Y 3 R p b 2 4 x L 1 F 1 Z X J 5 I E F M T C 9 D a G F u Z 2 V k I F R 5 c G U u e 0 o z I C g t K S w x N 3 0 m c X V v d D s s J n F 1 b 3 Q 7 U 2 V j d G l v b j E v U X V l c n k g Q U x M L 0 N o Y W 5 n Z W Q g V H l w Z S 5 7 S j M g V E 9 U Q U w s M T h 9 J n F 1 b 3 Q 7 L C Z x d W 9 0 O 1 N l Y 3 R p b 2 4 x L 1 F 1 Z X J 5 I E F M T C 9 D a G F u Z 2 V k I F R 5 c G U u e 0 o z I C h S Y W 5 r K S w x O X 0 m c X V v d D s s J n F 1 b 3 Q 7 U 2 V j d G l v b j E v U X V l c n k g Q U x M L 0 N o Y W 5 n Z W Q g V H l w Z S 5 7 S n V k Z 2 U g N F x u Q m V y b m F y Z C B C Y X J h x I 0 s M j B 9 J n F 1 b 3 Q 7 L C Z x d W 9 0 O 1 N l Y 3 R p b 2 4 x L 1 F 1 Z X J 5 I E F M T C 9 D a G F u Z 2 V k I F R 5 c G U u e 0 o 0 I C g t K S w y M X 0 m c X V v d D s s J n F 1 b 3 Q 7 U 2 V j d G l v b j E v U X V l c n k g Q U x M L 0 N o Y W 5 n Z W Q g V H l w Z S 5 7 S j Q g V E 9 U Q U w s M j J 9 J n F 1 b 3 Q 7 L C Z x d W 9 0 O 1 N l Y 3 R p b 2 4 x L 1 F 1 Z X J 5 I E F M T C 9 D a G F u Z 2 V k I F R 5 c G U u e 0 o 0 I C h S Y W 5 r K S w y M 3 0 m c X V v d D s s J n F 1 b 3 Q 7 U 2 V j d G l v b j E v U X V l c n k g Q U x M L 0 N o Y W 5 n Z W Q g V H l w Z S 5 7 S n V k Z 2 U g N V x u Q m F y Y m F y Y S B O b 3 Z p b m E s M j R 9 J n F 1 b 3 Q 7 L C Z x d W 9 0 O 1 N l Y 3 R p b 2 4 x L 1 F 1 Z X J 5 I E F M T C 9 D a G F u Z 2 V k I F R 5 c G U u e 0 o 1 I C g t K S w y N X 0 m c X V v d D s s J n F 1 b 3 Q 7 U 2 V j d G l v b j E v U X V l c n k g Q U x M L 0 N o Y W 5 n Z W Q g V H l w Z S 5 7 S j U g V E 9 U Q U w s M j Z 9 J n F 1 b 3 Q 7 L C Z x d W 9 0 O 1 N l Y 3 R p b 2 4 x L 1 F 1 Z X J 5 I E F M T C 9 D a G F u Z 2 V k I F R 5 c G U u e 0 o 1 I C h S Y W 5 r K S w y N 3 0 m c X V v d D s s J n F 1 b 3 Q 7 U 2 V j d G l v b j E v U X V l c n k g Q U x M L 0 N o Y W 5 n Z W Q g V H l w Z S 5 7 V G 9 0 Y W w s M j h 9 J n F 1 b 3 Q 7 L C Z x d W 9 0 O 1 N l Y 3 R p b 2 4 x L 1 F 1 Z X J 5 I E F M T C 9 D a G F u Z 2 V k I F R 5 c G U u e 0 x v d y w y O X 0 m c X V v d D s s J n F 1 b 3 Q 7 U 2 V j d G l v b j E v U X V l c n k g Q U x M L 0 N o Y W 5 n Z W Q g V H l w Z S 5 7 S G l n a C w z M H 0 m c X V v d D s s J n F 1 b 3 Q 7 U 2 V j d G l v b j E v U X V l c n k g Q U x M L 0 N o Y W 5 n Z W Q g V H l w Z S 5 7 R m l u Y W w g V G 9 0 Y W w s M z F 9 J n F 1 b 3 Q 7 L C Z x d W 9 0 O 1 N l Y 3 R p b 2 4 x L 1 F 1 Z X J 5 I E F M T C 9 D a G F u Z 2 V k I F R 5 c G U u e 0 F 2 Z y w z M n 0 m c X V v d D s s J n F 1 b 3 Q 7 U 2 V j d G l v b j E v U X V l c n k g Q U x M L 0 N o Y W 5 n Z W Q g V H l w Z S 5 7 R k l O Q U w g U 0 N P U k U s M z N 9 J n F 1 b 3 Q 7 L C Z x d W 9 0 O 1 N l Y 3 R p b 2 4 x L 1 F 1 Z X J 5 I E F M T C 9 D a G F u Z 2 V k I F R 5 c G U u e 1 J h b m s s M z R 9 J n F 1 b 3 Q 7 L C Z x d W 9 0 O 1 N l Y 3 R p b 2 4 x L 1 F 1 Z X J 5 I E F M T C 9 F e H B h b m R l Z C B D b 2 5 0 Z W 5 0 L n t D Y X R l Z 2 9 y e S B U e X B l L D M 1 f S Z x d W 9 0 O y w m c X V v d D t T Z W N 0 a W 9 u M S 9 R d W V y e S B B T E w v U 2 9 1 c m N l L n t O Y W 1 l L D F 9 J n F 1 b 3 Q 7 L C Z x d W 9 0 O 1 N l Y 3 R p b 2 4 x L 1 F 1 Z X J 5 I E F M T C 9 B Z G R l Z C B D d X N 0 b 2 0 u e 0 N P T l N P T E l E Q V R F R C w z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F 1 Z X J 5 J T I w Q U x M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J T I w Q U x M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J T I w Q U x M L 0 V 4 c G F u Z G V k J T I w Q 2 9 u d G V u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J T I w Q U x M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l M j B B T E w v Q W R k Z W Q l M j B D d X N 0 b 2 0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E t E C r H b / D E y C r d Q x g c l R 9 g A A A A A C A A A A A A A Q Z g A A A A E A A C A A A A A 5 o e r 2 w b k V H S l Y q S o 8 b S B 0 h + r N o p m y d 7 E + / C u J i v y 2 E A A A A A A O g A A A A A I A A C A A A A A w w O Z U 6 J G 7 6 7 x h X N q K h 0 W G h a V U G / e C h o F C O e Q V 3 i 2 w V 1 A A A A C L H p U W 3 k h a f 1 c t 8 T t d + 4 C U 3 j W P f K v 7 s K h m g S O e l A W 3 s O s Q S B V V + w R H E G T B J Y o P z + U U 1 g v S V k I c 7 h I + L 3 W A J v B K K g 8 w S + C e n g 8 7 f l f y a I o h Y 0 A A A A A 5 U U 4 g 5 r N 8 R b x K K / t s c k B n 1 2 d j U l n H s 4 9 R p M b o / N Y V c Y 3 l B U j t u s Q j I W 3 6 x x 2 N s M u k x 3 W D Q E S S a M l K f F 2 d V T Z R < / D a t a M a s h u p > 
</file>

<file path=customXml/itemProps1.xml><?xml version="1.0" encoding="utf-8"?>
<ds:datastoreItem xmlns:ds="http://schemas.openxmlformats.org/officeDocument/2006/customXml" ds:itemID="{86C5471E-DC05-4854-9EA1-0E2085C871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42</vt:i4>
      </vt:variant>
    </vt:vector>
  </HeadingPairs>
  <TitlesOfParts>
    <vt:vector size="87" baseType="lpstr">
      <vt:lpstr>MAJORETTE SOLO CHILDREN</vt:lpstr>
      <vt:lpstr>MAJORETTE SOLO CADET</vt:lpstr>
      <vt:lpstr>MAJORETTE SOLO JUNIOR</vt:lpstr>
      <vt:lpstr>MAJORETTE SOLO SENIOR</vt:lpstr>
      <vt:lpstr>ACCESSORIES SOLO CHILDREN</vt:lpstr>
      <vt:lpstr>ACCESSORIES SOLO CADET</vt:lpstr>
      <vt:lpstr>ACCESSORIES SOLO JUNIOR</vt:lpstr>
      <vt:lpstr>POMPON SOLO CHILDREN</vt:lpstr>
      <vt:lpstr>POMPON SOLO CADET</vt:lpstr>
      <vt:lpstr>POMPON SOLO JUNIOR</vt:lpstr>
      <vt:lpstr>POMPON SOLO SENIOR</vt:lpstr>
      <vt:lpstr>MAJORETTE DUO-TRIO CHILDREN</vt:lpstr>
      <vt:lpstr>MAJORETTE DUO-TRIO JUNIOR</vt:lpstr>
      <vt:lpstr>MAJORETTE DUO-TRIO SENIOR</vt:lpstr>
      <vt:lpstr>ACCESSORIES DUO CHILDREN</vt:lpstr>
      <vt:lpstr>ACCESSORIES DUO CADET</vt:lpstr>
      <vt:lpstr>ACCESSORIES DUO JUNIOR</vt:lpstr>
      <vt:lpstr>ACCESSORIES DUO SENIOR</vt:lpstr>
      <vt:lpstr>POMPON DUO-TRIO CHILDREN</vt:lpstr>
      <vt:lpstr>POMPON DUO-TRIO CADET</vt:lpstr>
      <vt:lpstr>POMPON DUO-TRIO JUNIOR</vt:lpstr>
      <vt:lpstr>POMPON DUO-TRIO SENIOR</vt:lpstr>
      <vt:lpstr>TRAD. MAJORETTE GROUP MINI</vt:lpstr>
      <vt:lpstr>TRAD. MAJORETTE TEAM CHILDREN</vt:lpstr>
      <vt:lpstr>TRAD. MAJORETTE GROUP CHILDREN</vt:lpstr>
      <vt:lpstr>TRAD. MAJORETTE GROUP CADET</vt:lpstr>
      <vt:lpstr>MODERN MAJORETTE TEAM CADET </vt:lpstr>
      <vt:lpstr>MODERN MAJORETTE TEAM JUNIOR</vt:lpstr>
      <vt:lpstr>MODERN MAJORETTE GROUP CADET</vt:lpstr>
      <vt:lpstr>MODERN MAJORETTE GROUP JUNIOR</vt:lpstr>
      <vt:lpstr>POMPON TEAM JUNIOR</vt:lpstr>
      <vt:lpstr>GROUP MIX CADET</vt:lpstr>
      <vt:lpstr>POMPON GROUP MINI</vt:lpstr>
      <vt:lpstr>POMPON GROUP CHILDREN</vt:lpstr>
      <vt:lpstr>POMPON GROUP CADET</vt:lpstr>
      <vt:lpstr>POMPON GROUP JUNIOR</vt:lpstr>
      <vt:lpstr>SHOW DANCE MINI</vt:lpstr>
      <vt:lpstr>SHOW DANCE CHILDREN</vt:lpstr>
      <vt:lpstr>SHOW DANCE CADET</vt:lpstr>
      <vt:lpstr>SHOW DANCE JUNIOR</vt:lpstr>
      <vt:lpstr>SHOW DANCE SENIOR</vt:lpstr>
      <vt:lpstr>FLAGS</vt:lpstr>
      <vt:lpstr>SUMARUM--&gt;</vt:lpstr>
      <vt:lpstr>PIVOT QUERY ALL</vt:lpstr>
      <vt:lpstr>Query ALL</vt:lpstr>
      <vt:lpstr>'ACCESSORIES DUO CADET'!Extract</vt:lpstr>
      <vt:lpstr>'ACCESSORIES DUO CHILDREN'!Extract</vt:lpstr>
      <vt:lpstr>'ACCESSORIES DUO JUNIOR'!Extract</vt:lpstr>
      <vt:lpstr>'ACCESSORIES DUO SENIOR'!Extract</vt:lpstr>
      <vt:lpstr>'ACCESSORIES SOLO CADET'!Extract</vt:lpstr>
      <vt:lpstr>'ACCESSORIES SOLO CHILDREN'!Extract</vt:lpstr>
      <vt:lpstr>'ACCESSORIES SOLO JUNIOR'!Extract</vt:lpstr>
      <vt:lpstr>FLAGS!Extract</vt:lpstr>
      <vt:lpstr>'GROUP MIX CADET'!Extract</vt:lpstr>
      <vt:lpstr>'MAJORETTE DUO-TRIO CHILDREN'!Extract</vt:lpstr>
      <vt:lpstr>'MAJORETTE DUO-TRIO JUNIOR'!Extract</vt:lpstr>
      <vt:lpstr>'MAJORETTE DUO-TRIO SENIOR'!Extract</vt:lpstr>
      <vt:lpstr>'MAJORETTE SOLO CADET'!Extract</vt:lpstr>
      <vt:lpstr>'MAJORETTE SOLO CHILDREN'!Extract</vt:lpstr>
      <vt:lpstr>'MAJORETTE SOLO JUNIOR'!Extract</vt:lpstr>
      <vt:lpstr>'MAJORETTE SOLO SENIOR'!Extract</vt:lpstr>
      <vt:lpstr>'MODERN MAJORETTE GROUP CADET'!Extract</vt:lpstr>
      <vt:lpstr>'MODERN MAJORETTE GROUP JUNIOR'!Extract</vt:lpstr>
      <vt:lpstr>'MODERN MAJORETTE TEAM CADET '!Extract</vt:lpstr>
      <vt:lpstr>'MODERN MAJORETTE TEAM JUNIOR'!Extract</vt:lpstr>
      <vt:lpstr>'POMPON DUO-TRIO CADET'!Extract</vt:lpstr>
      <vt:lpstr>'POMPON DUO-TRIO CHILDREN'!Extract</vt:lpstr>
      <vt:lpstr>'POMPON DUO-TRIO JUNIOR'!Extract</vt:lpstr>
      <vt:lpstr>'POMPON DUO-TRIO SENIOR'!Extract</vt:lpstr>
      <vt:lpstr>'POMPON GROUP CADET'!Extract</vt:lpstr>
      <vt:lpstr>'POMPON GROUP CHILDREN'!Extract</vt:lpstr>
      <vt:lpstr>'POMPON GROUP JUNIOR'!Extract</vt:lpstr>
      <vt:lpstr>'POMPON GROUP MINI'!Extract</vt:lpstr>
      <vt:lpstr>'POMPON SOLO CADET'!Extract</vt:lpstr>
      <vt:lpstr>'POMPON SOLO CHILDREN'!Extract</vt:lpstr>
      <vt:lpstr>'POMPON SOLO JUNIOR'!Extract</vt:lpstr>
      <vt:lpstr>'POMPON SOLO SENIOR'!Extract</vt:lpstr>
      <vt:lpstr>'POMPON TEAM JUNIOR'!Extract</vt:lpstr>
      <vt:lpstr>'SHOW DANCE CADET'!Extract</vt:lpstr>
      <vt:lpstr>'SHOW DANCE CHILDREN'!Extract</vt:lpstr>
      <vt:lpstr>'SHOW DANCE JUNIOR'!Extract</vt:lpstr>
      <vt:lpstr>'SHOW DANCE MINI'!Extract</vt:lpstr>
      <vt:lpstr>'SHOW DANCE SENIOR'!Extract</vt:lpstr>
      <vt:lpstr>'TRAD. MAJORETTE GROUP CADET'!Extract</vt:lpstr>
      <vt:lpstr>'TRAD. MAJORETTE GROUP CHILDREN'!Extract</vt:lpstr>
      <vt:lpstr>'TRAD. MAJORETTE GROUP MINI'!Extract</vt:lpstr>
      <vt:lpstr>'TRAD. MAJORETTE TEAM CHILDREN'!Extract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SAMOBORfest RESULTS - 3.6.2023 MAJORETTE PROGRAM</dc:title>
  <dc:subject/>
  <dc:creator>MKS STUDIO</dc:creator>
  <cp:keywords>SAMOBORfest</cp:keywords>
  <dc:description/>
  <cp:lastModifiedBy>User</cp:lastModifiedBy>
  <cp:revision/>
  <cp:lastPrinted>2023-06-03T15:10:48Z</cp:lastPrinted>
  <dcterms:created xsi:type="dcterms:W3CDTF">2019-01-27T20:49:00Z</dcterms:created>
  <dcterms:modified xsi:type="dcterms:W3CDTF">2023-06-07T23:00:09Z</dcterms:modified>
  <cp:category/>
  <cp:contentStatus/>
</cp:coreProperties>
</file>