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1.xml" ContentType="application/vnd.openxmlformats-officedocument.spreadsheetml.comments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2.xml" ContentType="application/vnd.openxmlformats-officedocument.spreadsheetml.comments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omments3.xml" ContentType="application/vnd.openxmlformats-officedocument.spreadsheetml.comments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omments4.xml" ContentType="application/vnd.openxmlformats-officedocument.spreadsheetml.comments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comments5.xml" ContentType="application/vnd.openxmlformats-officedocument.spreadsheetml.comments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EsteLivro"/>
  <mc:AlternateContent xmlns:mc="http://schemas.openxmlformats.org/markup-compatibility/2006">
    <mc:Choice Requires="x15">
      <x15ac:absPath xmlns:x15ac="http://schemas.microsoft.com/office/spreadsheetml/2010/11/ac" url="E:\SMB I SVN TWIRLING I MAŽORETKINJE\SAMOBORfest 2022\REZULTATI 2022\2022 SAMOBORfest RESULTS\2022 SAMOBORfest RESULTS\2022 REZULTATI LOCKED\"/>
    </mc:Choice>
  </mc:AlternateContent>
  <xr:revisionPtr revIDLastSave="0" documentId="13_ncr:1_{13A70536-2BB4-4400-8195-0E743434285A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FLOOR 1 BATON CADET-BEG" sheetId="25" r:id="rId1"/>
    <sheet name="FLOOR 1 BATON CADET-INT" sheetId="58" r:id="rId2"/>
    <sheet name="FLOOR 1 BATON JUNIOR-BEG" sheetId="60" r:id="rId3"/>
    <sheet name="FLOOR 1 BATON JUNIOR-INT" sheetId="61" r:id="rId4"/>
    <sheet name="FLOOR 1 BATON JUNIOR-ADV" sheetId="59" r:id="rId5"/>
    <sheet name="FLOOR 1 BATON SENIOR-INT" sheetId="63" r:id="rId6"/>
    <sheet name="FLOOR 1 BATON SENIOR-ADV" sheetId="62" r:id="rId7"/>
    <sheet name="FLOOR 1 BATON SENIOR-PRO" sheetId="64" r:id="rId8"/>
    <sheet name="FLOOR 2 BATONS CAD-LOW" sheetId="66" r:id="rId9"/>
    <sheet name="FLOOR 2 BATONS CAD-UPP" sheetId="65" r:id="rId10"/>
    <sheet name="FLOOR 2 BATONS JUN-LOW" sheetId="67" r:id="rId11"/>
    <sheet name="FLOOR 2 BATONS SEN-LOW" sheetId="68" r:id="rId12"/>
    <sheet name="FLOOR 2 BATONS SEN-UPP" sheetId="69" r:id="rId13"/>
    <sheet name="SOLO DANCE CHILDREN" sheetId="73" r:id="rId14"/>
    <sheet name="SOLO DANCE CAD-BEG" sheetId="70" r:id="rId15"/>
    <sheet name="SOLO DANCE CAD-INT" sheetId="72" r:id="rId16"/>
    <sheet name="SOLO DANCE JUN-BEG" sheetId="75" r:id="rId17"/>
    <sheet name="SOLO DANCE JUN-INT" sheetId="76" r:id="rId18"/>
    <sheet name="SOLO DANCE JUN-ADV" sheetId="96" r:id="rId19"/>
    <sheet name="SOLO DANCE JUN-PRO" sheetId="77" r:id="rId20"/>
    <sheet name="SOLO DANCE SEN-BEG" sheetId="78" r:id="rId21"/>
    <sheet name="SOLO DANCE SEN-INT" sheetId="79" r:id="rId22"/>
    <sheet name="SOLO DANCE SEN-ADV" sheetId="74" r:id="rId23"/>
    <sheet name="SOLO DANCE SEN-PRO" sheetId="80" r:id="rId24"/>
    <sheet name="DUET DANCE CHILDREN" sheetId="83" r:id="rId25"/>
    <sheet name="DUET DANCE CAD-LOW" sheetId="81" r:id="rId26"/>
    <sheet name="Sheet2" sheetId="97" state="hidden" r:id="rId27"/>
    <sheet name="DUET DANCE CAD-UPP" sheetId="82" r:id="rId28"/>
    <sheet name="DUET DANCE JUN-LOW" sheetId="84" r:id="rId29"/>
    <sheet name="DUET DANCE JUN-UPP" sheetId="85" r:id="rId30"/>
    <sheet name="DUET DANCE SEN-LOW" sheetId="86" r:id="rId31"/>
    <sheet name="DUET DANCE SEN-UPP" sheetId="87" r:id="rId32"/>
    <sheet name="TWIRLING TEAM CHILDREN" sheetId="88" r:id="rId33"/>
    <sheet name="TWIRLING TEAM CADET-LOW" sheetId="89" r:id="rId34"/>
    <sheet name="TWIRLING TEAM JUNIOR-LOW" sheetId="90" r:id="rId35"/>
    <sheet name="TWIRLING TEAM SENIOR-LOW" sheetId="91" r:id="rId36"/>
    <sheet name="TWIRLING GROUP CHILDREN" sheetId="92" r:id="rId37"/>
    <sheet name="TWIRLING GROUP CADET" sheetId="93" r:id="rId38"/>
    <sheet name="TWIRLING GROUP JUNIOR" sheetId="94" r:id="rId39"/>
    <sheet name="TWIRLING GROUP SENIOR" sheetId="95" r:id="rId40"/>
  </sheets>
  <definedNames>
    <definedName name="_xlnm._FilterDatabase" localSheetId="25" hidden="1">'DUET DANCE CAD-LOW'!$A$1:$AE$7</definedName>
    <definedName name="_xlnm._FilterDatabase" localSheetId="27" hidden="1">'DUET DANCE CAD-UPP'!$A$1:$AE$5</definedName>
    <definedName name="_xlnm._FilterDatabase" localSheetId="24" hidden="1">'DUET DANCE CHILDREN'!$A$1:$AE$2</definedName>
    <definedName name="_xlnm._FilterDatabase" localSheetId="28" hidden="1">'DUET DANCE JUN-LOW'!$A$1:$AE$7</definedName>
    <definedName name="_xlnm._FilterDatabase" localSheetId="29" hidden="1">'DUET DANCE JUN-UPP'!$A$1:$AE$5</definedName>
    <definedName name="_xlnm._FilterDatabase" localSheetId="30" hidden="1">'DUET DANCE SEN-LOW'!$A$1:$AE$7</definedName>
    <definedName name="_xlnm._FilterDatabase" localSheetId="31" hidden="1">'DUET DANCE SEN-UPP'!$A$1:$AE$2</definedName>
    <definedName name="_xlnm._FilterDatabase" localSheetId="0" hidden="1">'FLOOR 1 BATON CADET-BEG'!$A$1:$AE$6</definedName>
    <definedName name="_xlnm._FilterDatabase" localSheetId="1" hidden="1">'FLOOR 1 BATON CADET-INT'!$A$1:$AE$6</definedName>
    <definedName name="_xlnm._FilterDatabase" localSheetId="4" hidden="1">'FLOOR 1 BATON JUNIOR-ADV'!$A$1:$AE$4</definedName>
    <definedName name="_xlnm._FilterDatabase" localSheetId="2" hidden="1">'FLOOR 1 BATON JUNIOR-BEG'!$A$1:$AE$7</definedName>
    <definedName name="_xlnm._FilterDatabase" localSheetId="3" hidden="1">'FLOOR 1 BATON JUNIOR-INT'!$A$1:$AE$7</definedName>
    <definedName name="_xlnm._FilterDatabase" localSheetId="6" hidden="1">'FLOOR 1 BATON SENIOR-ADV'!$A$1:$AE$3</definedName>
    <definedName name="_xlnm._FilterDatabase" localSheetId="5" hidden="1">'FLOOR 1 BATON SENIOR-INT'!$A$1:$AE$4</definedName>
    <definedName name="_xlnm._FilterDatabase" localSheetId="7" hidden="1">'FLOOR 1 BATON SENIOR-PRO'!$A$1:$AE$2</definedName>
    <definedName name="_xlnm._FilterDatabase" localSheetId="8" hidden="1">'FLOOR 2 BATONS CAD-LOW'!$A$1:$AE$2</definedName>
    <definedName name="_xlnm._FilterDatabase" localSheetId="9" hidden="1">'FLOOR 2 BATONS CAD-UPP'!$A$1:$AE$2</definedName>
    <definedName name="_xlnm._FilterDatabase" localSheetId="10" hidden="1">'FLOOR 2 BATONS JUN-LOW'!$A$1:$AE$5</definedName>
    <definedName name="_xlnm._FilterDatabase" localSheetId="11" hidden="1">'FLOOR 2 BATONS SEN-LOW'!$A$1:$AE$4</definedName>
    <definedName name="_xlnm._FilterDatabase" localSheetId="12" hidden="1">'FLOOR 2 BATONS SEN-UPP'!$A$1:$AE$2</definedName>
    <definedName name="_xlnm._FilterDatabase" localSheetId="14" hidden="1">'SOLO DANCE CAD-BEG'!$A$1:$AE$20</definedName>
    <definedName name="_xlnm._FilterDatabase" localSheetId="15" hidden="1">'SOLO DANCE CAD-INT'!$A$1:$AE$12</definedName>
    <definedName name="_xlnm._FilterDatabase" localSheetId="13" hidden="1">'SOLO DANCE CHILDREN'!$A$1:$AE$7</definedName>
    <definedName name="_xlnm._FilterDatabase" localSheetId="16" hidden="1">'SOLO DANCE JUN-BEG'!$A$1:$AE$5</definedName>
    <definedName name="_xlnm._FilterDatabase" localSheetId="17" hidden="1">'SOLO DANCE JUN-INT'!$A$1:$AE$17</definedName>
    <definedName name="_xlnm._FilterDatabase" localSheetId="19" hidden="1">'SOLO DANCE JUN-PRO'!$A$1:$AE$3</definedName>
    <definedName name="_xlnm._FilterDatabase" localSheetId="22" hidden="1">'SOLO DANCE SEN-ADV'!$A$1:$AE$5</definedName>
    <definedName name="_xlnm._FilterDatabase" localSheetId="20" hidden="1">'SOLO DANCE SEN-BEG'!$A$1:$AE$2</definedName>
    <definedName name="_xlnm._FilterDatabase" localSheetId="21" hidden="1">'SOLO DANCE SEN-INT'!$A$1:$AE$10</definedName>
    <definedName name="_xlnm._FilterDatabase" localSheetId="23" hidden="1">'SOLO DANCE SEN-PRO'!$A$1:$AE$3</definedName>
    <definedName name="_xlnm._FilterDatabase" localSheetId="37" hidden="1">'TWIRLING GROUP CADET'!$A$1:$AE$2</definedName>
    <definedName name="_xlnm._FilterDatabase" localSheetId="36" hidden="1">'TWIRLING GROUP CHILDREN'!$A$1:$AE$2</definedName>
    <definedName name="_xlnm._FilterDatabase" localSheetId="38" hidden="1">'TWIRLING GROUP JUNIOR'!$A$1:$AE$2</definedName>
    <definedName name="_xlnm._FilterDatabase" localSheetId="39" hidden="1">'TWIRLING GROUP SENIOR'!$A$1:$AE$2</definedName>
    <definedName name="_xlnm._FilterDatabase" localSheetId="33" hidden="1">'TWIRLING TEAM CADET-LOW'!$A$1:$AE$4</definedName>
    <definedName name="_xlnm._FilterDatabase" localSheetId="32" hidden="1">'TWIRLING TEAM CHILDREN'!$A$1:$AE$2</definedName>
    <definedName name="_xlnm._FilterDatabase" localSheetId="34" hidden="1">'TWIRLING TEAM JUNIOR-LOW'!$A$1:$AE$7</definedName>
    <definedName name="_xlnm._FilterDatabase" localSheetId="35" hidden="1">'TWIRLING TEAM SENIOR-LOW'!$A$1:$AE$2</definedName>
    <definedName name="_xlnm.Extract" localSheetId="25">'DUET DANCE CAD-LOW'!$AF$1:$AY$1</definedName>
    <definedName name="_xlnm.Extract" localSheetId="27">'DUET DANCE CAD-UPP'!$AF$1:$AY$1</definedName>
    <definedName name="_xlnm.Extract" localSheetId="24">'DUET DANCE CHILDREN'!$AF$1:$AY$1</definedName>
    <definedName name="_xlnm.Extract" localSheetId="28">'DUET DANCE JUN-LOW'!$AF$1:$AY$1</definedName>
    <definedName name="_xlnm.Extract" localSheetId="29">'DUET DANCE JUN-UPP'!$AF$1:$AY$1</definedName>
    <definedName name="_xlnm.Extract" localSheetId="30">'DUET DANCE SEN-LOW'!$AF$1:$AY$1</definedName>
    <definedName name="_xlnm.Extract" localSheetId="31">'DUET DANCE SEN-UPP'!$AF$1:$AY$1</definedName>
    <definedName name="_xlnm.Extract" localSheetId="0">'FLOOR 1 BATON CADET-BEG'!$AF$1:$AX$1</definedName>
    <definedName name="_xlnm.Extract" localSheetId="1">'FLOOR 1 BATON CADET-INT'!$AF$1:$AY$1</definedName>
    <definedName name="_xlnm.Extract" localSheetId="4">'FLOOR 1 BATON JUNIOR-ADV'!$AF$1:$AY$1</definedName>
    <definedName name="_xlnm.Extract" localSheetId="2">'FLOOR 1 BATON JUNIOR-BEG'!$AF$1:$AY$1</definedName>
    <definedName name="_xlnm.Extract" localSheetId="3">'FLOOR 1 BATON JUNIOR-INT'!$AF$1:$AY$1</definedName>
    <definedName name="_xlnm.Extract" localSheetId="6">'FLOOR 1 BATON SENIOR-ADV'!$AF$1:$AY$1</definedName>
    <definedName name="_xlnm.Extract" localSheetId="5">'FLOOR 1 BATON SENIOR-INT'!$AF$1:$AY$1</definedName>
    <definedName name="_xlnm.Extract" localSheetId="7">'FLOOR 1 BATON SENIOR-PRO'!$AF$1:$AY$1</definedName>
    <definedName name="_xlnm.Extract" localSheetId="8">'FLOOR 2 BATONS CAD-LOW'!$AF$1:$AY$1</definedName>
    <definedName name="_xlnm.Extract" localSheetId="9">'FLOOR 2 BATONS CAD-UPP'!$AF$1:$AY$1</definedName>
    <definedName name="_xlnm.Extract" localSheetId="10">'FLOOR 2 BATONS JUN-LOW'!$AF$1:$AY$1</definedName>
    <definedName name="_xlnm.Extract" localSheetId="11">'FLOOR 2 BATONS SEN-LOW'!$AF$1:$AY$1</definedName>
    <definedName name="_xlnm.Extract" localSheetId="12">'FLOOR 2 BATONS SEN-UPP'!$AF$1:$AY$1</definedName>
    <definedName name="_xlnm.Extract" localSheetId="14">'SOLO DANCE CAD-BEG'!$AF$1:$AY$1</definedName>
    <definedName name="_xlnm.Extract" localSheetId="15">'SOLO DANCE CAD-INT'!$AF$1:$AY$1</definedName>
    <definedName name="_xlnm.Extract" localSheetId="13">'SOLO DANCE CHILDREN'!$AF$1:$AY$1</definedName>
    <definedName name="_xlnm.Extract" localSheetId="16">'SOLO DANCE JUN-BEG'!$AF$1:$AY$1</definedName>
    <definedName name="_xlnm.Extract" localSheetId="17">'SOLO DANCE JUN-INT'!$AF$1:$AY$1</definedName>
    <definedName name="_xlnm.Extract" localSheetId="19">'SOLO DANCE JUN-PRO'!$AF$1:$AY$1</definedName>
    <definedName name="_xlnm.Extract" localSheetId="22">'SOLO DANCE SEN-ADV'!$AF$1:$AY$1</definedName>
    <definedName name="_xlnm.Extract" localSheetId="20">'SOLO DANCE SEN-BEG'!$AF$1:$AY$1</definedName>
    <definedName name="_xlnm.Extract" localSheetId="21">'SOLO DANCE SEN-INT'!$AF$1:$AY$1</definedName>
    <definedName name="_xlnm.Extract" localSheetId="23">'SOLO DANCE SEN-PRO'!$AF$1:$AY$1</definedName>
    <definedName name="_xlnm.Extract" localSheetId="37">'TWIRLING GROUP CADET'!$AF$1:$AY$1</definedName>
    <definedName name="_xlnm.Extract" localSheetId="36">'TWIRLING GROUP CHILDREN'!$AF$1:$AY$1</definedName>
    <definedName name="_xlnm.Extract" localSheetId="38">'TWIRLING GROUP JUNIOR'!$AF$1:$AY$1</definedName>
    <definedName name="_xlnm.Extract" localSheetId="39">'TWIRLING GROUP SENIOR'!$AF$1:$AY$1</definedName>
    <definedName name="_xlnm.Extract" localSheetId="33">'TWIRLING TEAM CADET-LOW'!$AF$1:$AY$1</definedName>
    <definedName name="_xlnm.Extract" localSheetId="32">'TWIRLING TEAM CHILDREN'!$AF$1:$AY$1</definedName>
    <definedName name="_xlnm.Extract" localSheetId="34">'TWIRLING TEAM JUNIOR-LOW'!$AF$1:$AY$1</definedName>
    <definedName name="_xlnm.Extract" localSheetId="35">'TWIRLING TEAM SENIOR-LOW'!$AF$1:$AY$1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" i="72" l="1"/>
  <c r="T4" i="72" s="1"/>
  <c r="K2" i="96"/>
  <c r="O2" i="96"/>
  <c r="S2" i="96"/>
  <c r="W2" i="96"/>
  <c r="AC2" i="96"/>
  <c r="K3" i="96"/>
  <c r="O3" i="96"/>
  <c r="S3" i="96"/>
  <c r="W3" i="96"/>
  <c r="AC3" i="96"/>
  <c r="K4" i="96"/>
  <c r="O4" i="96"/>
  <c r="S4" i="96"/>
  <c r="W4" i="96"/>
  <c r="AC4" i="96"/>
  <c r="K5" i="96"/>
  <c r="O5" i="96"/>
  <c r="S5" i="96"/>
  <c r="W5" i="96"/>
  <c r="AC5" i="96"/>
  <c r="K6" i="96"/>
  <c r="O6" i="96"/>
  <c r="S6" i="96"/>
  <c r="T6" i="96" s="1"/>
  <c r="W6" i="96"/>
  <c r="AC6" i="96"/>
  <c r="K7" i="96"/>
  <c r="O7" i="96"/>
  <c r="S7" i="96"/>
  <c r="W7" i="96"/>
  <c r="AC7" i="96"/>
  <c r="K8" i="96"/>
  <c r="O8" i="96"/>
  <c r="P8" i="96" s="1"/>
  <c r="S8" i="96"/>
  <c r="W8" i="96"/>
  <c r="AC8" i="96"/>
  <c r="AC2" i="95"/>
  <c r="W2" i="95"/>
  <c r="X2" i="95" s="1"/>
  <c r="S2" i="95"/>
  <c r="T2" i="95" s="1"/>
  <c r="O2" i="95"/>
  <c r="P2" i="95" s="1"/>
  <c r="K2" i="95"/>
  <c r="AC2" i="94"/>
  <c r="W2" i="94"/>
  <c r="X2" i="94" s="1"/>
  <c r="S2" i="94"/>
  <c r="T2" i="94" s="1"/>
  <c r="O2" i="94"/>
  <c r="P2" i="94" s="1"/>
  <c r="K2" i="94"/>
  <c r="AC2" i="93"/>
  <c r="W2" i="93"/>
  <c r="X2" i="93" s="1"/>
  <c r="S2" i="93"/>
  <c r="T2" i="93" s="1"/>
  <c r="O2" i="93"/>
  <c r="P2" i="93" s="1"/>
  <c r="K2" i="93"/>
  <c r="AC2" i="92"/>
  <c r="W2" i="92"/>
  <c r="X2" i="92" s="1"/>
  <c r="S2" i="92"/>
  <c r="T2" i="92" s="1"/>
  <c r="O2" i="92"/>
  <c r="P2" i="92" s="1"/>
  <c r="K2" i="92"/>
  <c r="AC2" i="91"/>
  <c r="W2" i="91"/>
  <c r="X2" i="91" s="1"/>
  <c r="S2" i="91"/>
  <c r="T2" i="91" s="1"/>
  <c r="O2" i="91"/>
  <c r="K2" i="91"/>
  <c r="K2" i="90"/>
  <c r="K3" i="90"/>
  <c r="K4" i="90"/>
  <c r="O2" i="90"/>
  <c r="O3" i="90"/>
  <c r="O4" i="90"/>
  <c r="S2" i="90"/>
  <c r="S3" i="90"/>
  <c r="S4" i="90"/>
  <c r="W2" i="90"/>
  <c r="W3" i="90"/>
  <c r="W4" i="90"/>
  <c r="AC2" i="90"/>
  <c r="AC3" i="90"/>
  <c r="AC4" i="90"/>
  <c r="AC6" i="90"/>
  <c r="W6" i="90"/>
  <c r="S6" i="90"/>
  <c r="O6" i="90"/>
  <c r="K6" i="90"/>
  <c r="AC7" i="90"/>
  <c r="W7" i="90"/>
  <c r="S7" i="90"/>
  <c r="O7" i="90"/>
  <c r="K7" i="90"/>
  <c r="AC5" i="90"/>
  <c r="W5" i="90"/>
  <c r="S5" i="90"/>
  <c r="O5" i="90"/>
  <c r="K5" i="90"/>
  <c r="K2" i="89"/>
  <c r="K4" i="89"/>
  <c r="O2" i="89"/>
  <c r="O4" i="89"/>
  <c r="S2" i="89"/>
  <c r="S4" i="89"/>
  <c r="W2" i="89"/>
  <c r="W4" i="89"/>
  <c r="AC2" i="89"/>
  <c r="AC4" i="89"/>
  <c r="AC3" i="89"/>
  <c r="W3" i="89"/>
  <c r="S3" i="89"/>
  <c r="O3" i="89"/>
  <c r="K3" i="89"/>
  <c r="AC2" i="88"/>
  <c r="W2" i="88"/>
  <c r="X2" i="88" s="1"/>
  <c r="S2" i="88"/>
  <c r="T2" i="88" s="1"/>
  <c r="O2" i="88"/>
  <c r="P2" i="88" s="1"/>
  <c r="K2" i="88"/>
  <c r="L2" i="88" s="1"/>
  <c r="AC2" i="87"/>
  <c r="W2" i="87"/>
  <c r="S2" i="87"/>
  <c r="T2" i="87" s="1"/>
  <c r="O2" i="87"/>
  <c r="K2" i="87"/>
  <c r="K7" i="86"/>
  <c r="O7" i="86"/>
  <c r="S7" i="86"/>
  <c r="W7" i="86"/>
  <c r="AC7" i="86"/>
  <c r="K4" i="86"/>
  <c r="O4" i="86"/>
  <c r="S4" i="86"/>
  <c r="W4" i="86"/>
  <c r="AC4" i="86"/>
  <c r="AC3" i="86"/>
  <c r="W3" i="86"/>
  <c r="S3" i="86"/>
  <c r="O3" i="86"/>
  <c r="K3" i="86"/>
  <c r="AC2" i="86"/>
  <c r="W2" i="86"/>
  <c r="S2" i="86"/>
  <c r="O2" i="86"/>
  <c r="K2" i="86"/>
  <c r="AC5" i="86"/>
  <c r="W5" i="86"/>
  <c r="S5" i="86"/>
  <c r="O5" i="86"/>
  <c r="K5" i="86"/>
  <c r="AC6" i="86"/>
  <c r="W6" i="86"/>
  <c r="S6" i="86"/>
  <c r="O6" i="86"/>
  <c r="K6" i="86"/>
  <c r="AC5" i="85"/>
  <c r="W5" i="85"/>
  <c r="S5" i="85"/>
  <c r="O5" i="85"/>
  <c r="K5" i="85"/>
  <c r="AC2" i="85"/>
  <c r="W2" i="85"/>
  <c r="S2" i="85"/>
  <c r="O2" i="85"/>
  <c r="K2" i="85"/>
  <c r="AC3" i="85"/>
  <c r="W3" i="85"/>
  <c r="S3" i="85"/>
  <c r="O3" i="85"/>
  <c r="K3" i="85"/>
  <c r="AC4" i="85"/>
  <c r="W4" i="85"/>
  <c r="S4" i="85"/>
  <c r="O4" i="85"/>
  <c r="K4" i="85"/>
  <c r="K5" i="84"/>
  <c r="O5" i="84"/>
  <c r="S5" i="84"/>
  <c r="W5" i="84"/>
  <c r="AC5" i="84"/>
  <c r="K2" i="84"/>
  <c r="O2" i="84"/>
  <c r="S2" i="84"/>
  <c r="W2" i="84"/>
  <c r="AC2" i="84"/>
  <c r="K4" i="84"/>
  <c r="O4" i="84"/>
  <c r="S4" i="84"/>
  <c r="W4" i="84"/>
  <c r="AC4" i="84"/>
  <c r="K6" i="84"/>
  <c r="O6" i="84"/>
  <c r="S6" i="84"/>
  <c r="W6" i="84"/>
  <c r="AC6" i="84"/>
  <c r="K3" i="84"/>
  <c r="O3" i="84"/>
  <c r="S3" i="84"/>
  <c r="W3" i="84"/>
  <c r="AC3" i="84"/>
  <c r="AC7" i="84"/>
  <c r="W7" i="84"/>
  <c r="S7" i="84"/>
  <c r="O7" i="84"/>
  <c r="K7" i="84"/>
  <c r="AC2" i="83"/>
  <c r="W2" i="83"/>
  <c r="X2" i="83" s="1"/>
  <c r="S2" i="83"/>
  <c r="T2" i="83" s="1"/>
  <c r="O2" i="83"/>
  <c r="P2" i="83" s="1"/>
  <c r="K2" i="83"/>
  <c r="L2" i="83" s="1"/>
  <c r="AC2" i="82"/>
  <c r="W2" i="82"/>
  <c r="S2" i="82"/>
  <c r="O2" i="82"/>
  <c r="K2" i="82"/>
  <c r="AC4" i="82"/>
  <c r="W4" i="82"/>
  <c r="S4" i="82"/>
  <c r="O4" i="82"/>
  <c r="K4" i="82"/>
  <c r="AC3" i="82"/>
  <c r="W3" i="82"/>
  <c r="S3" i="82"/>
  <c r="O3" i="82"/>
  <c r="K3" i="82"/>
  <c r="AC5" i="82"/>
  <c r="W5" i="82"/>
  <c r="S5" i="82"/>
  <c r="O5" i="82"/>
  <c r="K5" i="82"/>
  <c r="K3" i="81"/>
  <c r="O3" i="81"/>
  <c r="S3" i="81"/>
  <c r="W3" i="81"/>
  <c r="AC3" i="81"/>
  <c r="K6" i="81"/>
  <c r="O6" i="81"/>
  <c r="S6" i="81"/>
  <c r="W6" i="81"/>
  <c r="AC6" i="81"/>
  <c r="K5" i="81"/>
  <c r="O5" i="81"/>
  <c r="S5" i="81"/>
  <c r="W5" i="81"/>
  <c r="AC5" i="81"/>
  <c r="K4" i="81"/>
  <c r="O4" i="81"/>
  <c r="S4" i="81"/>
  <c r="W4" i="81"/>
  <c r="AC4" i="81"/>
  <c r="AC2" i="81"/>
  <c r="W2" i="81"/>
  <c r="S2" i="81"/>
  <c r="O2" i="81"/>
  <c r="K2" i="81"/>
  <c r="AC7" i="81"/>
  <c r="W7" i="81"/>
  <c r="S7" i="81"/>
  <c r="O7" i="81"/>
  <c r="K7" i="81"/>
  <c r="AC3" i="80"/>
  <c r="W3" i="80"/>
  <c r="X3" i="80" s="1"/>
  <c r="S3" i="80"/>
  <c r="O3" i="80"/>
  <c r="K3" i="80"/>
  <c r="AC2" i="80"/>
  <c r="W2" i="80"/>
  <c r="S2" i="80"/>
  <c r="O2" i="80"/>
  <c r="K2" i="80"/>
  <c r="AC3" i="79"/>
  <c r="W3" i="79"/>
  <c r="S3" i="79"/>
  <c r="O3" i="79"/>
  <c r="K3" i="79"/>
  <c r="AC9" i="79"/>
  <c r="W9" i="79"/>
  <c r="S9" i="79"/>
  <c r="O9" i="79"/>
  <c r="K9" i="79"/>
  <c r="AC6" i="79"/>
  <c r="W6" i="79"/>
  <c r="S6" i="79"/>
  <c r="O6" i="79"/>
  <c r="K6" i="79"/>
  <c r="AC7" i="79"/>
  <c r="W7" i="79"/>
  <c r="S7" i="79"/>
  <c r="O7" i="79"/>
  <c r="K7" i="79"/>
  <c r="AC5" i="79"/>
  <c r="W5" i="79"/>
  <c r="S5" i="79"/>
  <c r="O5" i="79"/>
  <c r="K5" i="79"/>
  <c r="AC4" i="79"/>
  <c r="W4" i="79"/>
  <c r="S4" i="79"/>
  <c r="O4" i="79"/>
  <c r="K4" i="79"/>
  <c r="AC10" i="79"/>
  <c r="W10" i="79"/>
  <c r="S10" i="79"/>
  <c r="O10" i="79"/>
  <c r="K10" i="79"/>
  <c r="AC8" i="79"/>
  <c r="W8" i="79"/>
  <c r="S8" i="79"/>
  <c r="O8" i="79"/>
  <c r="K8" i="79"/>
  <c r="AC2" i="79"/>
  <c r="W2" i="79"/>
  <c r="S2" i="79"/>
  <c r="O2" i="79"/>
  <c r="K2" i="79"/>
  <c r="AC2" i="78"/>
  <c r="W2" i="78"/>
  <c r="X2" i="78" s="1"/>
  <c r="S2" i="78"/>
  <c r="O2" i="78"/>
  <c r="P2" i="78" s="1"/>
  <c r="K2" i="78"/>
  <c r="L2" i="78" s="1"/>
  <c r="AC3" i="77"/>
  <c r="W3" i="77"/>
  <c r="S3" i="77"/>
  <c r="O3" i="77"/>
  <c r="K3" i="77"/>
  <c r="AC2" i="77"/>
  <c r="W2" i="77"/>
  <c r="S2" i="77"/>
  <c r="O2" i="77"/>
  <c r="K2" i="77"/>
  <c r="K11" i="76"/>
  <c r="O11" i="76"/>
  <c r="S11" i="76"/>
  <c r="W11" i="76"/>
  <c r="AC11" i="76"/>
  <c r="K10" i="76"/>
  <c r="O10" i="76"/>
  <c r="S10" i="76"/>
  <c r="W10" i="76"/>
  <c r="AC10" i="76"/>
  <c r="K17" i="76"/>
  <c r="O17" i="76"/>
  <c r="S17" i="76"/>
  <c r="W17" i="76"/>
  <c r="AC17" i="76"/>
  <c r="K3" i="76"/>
  <c r="O3" i="76"/>
  <c r="S3" i="76"/>
  <c r="W3" i="76"/>
  <c r="AC3" i="76"/>
  <c r="K16" i="76"/>
  <c r="O16" i="76"/>
  <c r="S16" i="76"/>
  <c r="W16" i="76"/>
  <c r="AC16" i="76"/>
  <c r="K15" i="76"/>
  <c r="O15" i="76"/>
  <c r="S15" i="76"/>
  <c r="W15" i="76"/>
  <c r="AC15" i="76"/>
  <c r="K6" i="76"/>
  <c r="O6" i="76"/>
  <c r="S6" i="76"/>
  <c r="W6" i="76"/>
  <c r="AC6" i="76"/>
  <c r="K13" i="76"/>
  <c r="O13" i="76"/>
  <c r="S13" i="76"/>
  <c r="W13" i="76"/>
  <c r="AC13" i="76"/>
  <c r="K5" i="76"/>
  <c r="O5" i="76"/>
  <c r="S5" i="76"/>
  <c r="W5" i="76"/>
  <c r="AC5" i="76"/>
  <c r="K8" i="76"/>
  <c r="O8" i="76"/>
  <c r="S8" i="76"/>
  <c r="W8" i="76"/>
  <c r="AC8" i="76"/>
  <c r="K9" i="76"/>
  <c r="O9" i="76"/>
  <c r="S9" i="76"/>
  <c r="W9" i="76"/>
  <c r="AC9" i="76"/>
  <c r="K2" i="76"/>
  <c r="O2" i="76"/>
  <c r="S2" i="76"/>
  <c r="W2" i="76"/>
  <c r="AC2" i="76"/>
  <c r="AC7" i="76"/>
  <c r="W7" i="76"/>
  <c r="S7" i="76"/>
  <c r="O7" i="76"/>
  <c r="K7" i="76"/>
  <c r="AC14" i="76"/>
  <c r="W14" i="76"/>
  <c r="S14" i="76"/>
  <c r="O14" i="76"/>
  <c r="K14" i="76"/>
  <c r="AC4" i="76"/>
  <c r="W4" i="76"/>
  <c r="S4" i="76"/>
  <c r="O4" i="76"/>
  <c r="K4" i="76"/>
  <c r="AC12" i="76"/>
  <c r="W12" i="76"/>
  <c r="S12" i="76"/>
  <c r="O12" i="76"/>
  <c r="K12" i="76"/>
  <c r="AC3" i="75"/>
  <c r="W3" i="75"/>
  <c r="S3" i="75"/>
  <c r="O3" i="75"/>
  <c r="K3" i="75"/>
  <c r="AC4" i="75"/>
  <c r="W4" i="75"/>
  <c r="S4" i="75"/>
  <c r="O4" i="75"/>
  <c r="K4" i="75"/>
  <c r="AC2" i="75"/>
  <c r="W2" i="75"/>
  <c r="S2" i="75"/>
  <c r="O2" i="75"/>
  <c r="K2" i="75"/>
  <c r="AC5" i="75"/>
  <c r="W5" i="75"/>
  <c r="S5" i="75"/>
  <c r="O5" i="75"/>
  <c r="K5" i="75"/>
  <c r="AC2" i="74"/>
  <c r="W2" i="74"/>
  <c r="S2" i="74"/>
  <c r="O2" i="74"/>
  <c r="K2" i="74"/>
  <c r="AC5" i="74"/>
  <c r="W5" i="74"/>
  <c r="S5" i="74"/>
  <c r="O5" i="74"/>
  <c r="K5" i="74"/>
  <c r="AC4" i="74"/>
  <c r="W4" i="74"/>
  <c r="S4" i="74"/>
  <c r="O4" i="74"/>
  <c r="K4" i="74"/>
  <c r="AC3" i="74"/>
  <c r="W3" i="74"/>
  <c r="S3" i="74"/>
  <c r="O3" i="74"/>
  <c r="K3" i="74"/>
  <c r="AC2" i="73"/>
  <c r="W2" i="73"/>
  <c r="S2" i="73"/>
  <c r="O2" i="73"/>
  <c r="K2" i="73"/>
  <c r="AC4" i="73"/>
  <c r="W4" i="73"/>
  <c r="S4" i="73"/>
  <c r="O4" i="73"/>
  <c r="K4" i="73"/>
  <c r="AC3" i="73"/>
  <c r="W3" i="73"/>
  <c r="S3" i="73"/>
  <c r="O3" i="73"/>
  <c r="K3" i="73"/>
  <c r="AC6" i="73"/>
  <c r="W6" i="73"/>
  <c r="S6" i="73"/>
  <c r="O6" i="73"/>
  <c r="K6" i="73"/>
  <c r="AC5" i="73"/>
  <c r="W5" i="73"/>
  <c r="S5" i="73"/>
  <c r="O5" i="73"/>
  <c r="K5" i="73"/>
  <c r="AC7" i="73"/>
  <c r="W7" i="73"/>
  <c r="S7" i="73"/>
  <c r="O7" i="73"/>
  <c r="K7" i="73"/>
  <c r="AC10" i="72"/>
  <c r="W10" i="72"/>
  <c r="X10" i="72" s="1"/>
  <c r="S10" i="72"/>
  <c r="O10" i="72"/>
  <c r="K10" i="72"/>
  <c r="AC6" i="72"/>
  <c r="W6" i="72"/>
  <c r="X6" i="72" s="1"/>
  <c r="S6" i="72"/>
  <c r="T5" i="72" s="1"/>
  <c r="O6" i="72"/>
  <c r="K6" i="72"/>
  <c r="AC11" i="72"/>
  <c r="W11" i="72"/>
  <c r="X11" i="72" s="1"/>
  <c r="S11" i="72"/>
  <c r="T11" i="72" s="1"/>
  <c r="O11" i="72"/>
  <c r="K11" i="72"/>
  <c r="AC9" i="72"/>
  <c r="W9" i="72"/>
  <c r="X9" i="72" s="1"/>
  <c r="S9" i="72"/>
  <c r="O9" i="72"/>
  <c r="K9" i="72"/>
  <c r="AC4" i="72"/>
  <c r="W4" i="72"/>
  <c r="X5" i="72" s="1"/>
  <c r="O4" i="72"/>
  <c r="K4" i="72"/>
  <c r="AC2" i="72"/>
  <c r="W2" i="72"/>
  <c r="S2" i="72"/>
  <c r="O2" i="72"/>
  <c r="K2" i="72"/>
  <c r="AC8" i="72"/>
  <c r="W8" i="72"/>
  <c r="X8" i="72" s="1"/>
  <c r="S8" i="72"/>
  <c r="O8" i="72"/>
  <c r="K8" i="72"/>
  <c r="AC7" i="72"/>
  <c r="W7" i="72"/>
  <c r="S7" i="72"/>
  <c r="O7" i="72"/>
  <c r="K7" i="72"/>
  <c r="AC3" i="72"/>
  <c r="W3" i="72"/>
  <c r="X3" i="72" s="1"/>
  <c r="S3" i="72"/>
  <c r="T3" i="72" s="1"/>
  <c r="O3" i="72"/>
  <c r="K3" i="72"/>
  <c r="AC12" i="72"/>
  <c r="W12" i="72"/>
  <c r="X12" i="72" s="1"/>
  <c r="S12" i="72"/>
  <c r="T9" i="72" s="1"/>
  <c r="O12" i="72"/>
  <c r="K12" i="72"/>
  <c r="AC5" i="72"/>
  <c r="W5" i="72"/>
  <c r="S5" i="72"/>
  <c r="O5" i="72"/>
  <c r="K5" i="72"/>
  <c r="K16" i="70"/>
  <c r="O16" i="70"/>
  <c r="S16" i="70"/>
  <c r="W16" i="70"/>
  <c r="AC16" i="70"/>
  <c r="K9" i="70"/>
  <c r="O9" i="70"/>
  <c r="S9" i="70"/>
  <c r="W9" i="70"/>
  <c r="AC9" i="70"/>
  <c r="K6" i="70"/>
  <c r="O6" i="70"/>
  <c r="S6" i="70"/>
  <c r="W6" i="70"/>
  <c r="AC6" i="70"/>
  <c r="K14" i="70"/>
  <c r="O14" i="70"/>
  <c r="S14" i="70"/>
  <c r="W14" i="70"/>
  <c r="AC14" i="70"/>
  <c r="K15" i="70"/>
  <c r="O15" i="70"/>
  <c r="S15" i="70"/>
  <c r="W15" i="70"/>
  <c r="AC15" i="70"/>
  <c r="K5" i="70"/>
  <c r="O5" i="70"/>
  <c r="S5" i="70"/>
  <c r="W5" i="70"/>
  <c r="AC5" i="70"/>
  <c r="K17" i="70"/>
  <c r="O17" i="70"/>
  <c r="S17" i="70"/>
  <c r="W17" i="70"/>
  <c r="AC17" i="70"/>
  <c r="K7" i="70"/>
  <c r="O7" i="70"/>
  <c r="S7" i="70"/>
  <c r="W7" i="70"/>
  <c r="AC7" i="70"/>
  <c r="K19" i="70"/>
  <c r="O19" i="70"/>
  <c r="S19" i="70"/>
  <c r="W19" i="70"/>
  <c r="AC19" i="70"/>
  <c r="K13" i="70"/>
  <c r="O13" i="70"/>
  <c r="S13" i="70"/>
  <c r="W13" i="70"/>
  <c r="AC13" i="70"/>
  <c r="K10" i="70"/>
  <c r="O10" i="70"/>
  <c r="S10" i="70"/>
  <c r="W10" i="70"/>
  <c r="AC10" i="70"/>
  <c r="K3" i="70"/>
  <c r="O3" i="70"/>
  <c r="S3" i="70"/>
  <c r="W3" i="70"/>
  <c r="AC3" i="70"/>
  <c r="K4" i="70"/>
  <c r="O4" i="70"/>
  <c r="S4" i="70"/>
  <c r="W4" i="70"/>
  <c r="AC4" i="70"/>
  <c r="K18" i="70"/>
  <c r="O18" i="70"/>
  <c r="S18" i="70"/>
  <c r="W18" i="70"/>
  <c r="AC18" i="70"/>
  <c r="K8" i="70"/>
  <c r="O8" i="70"/>
  <c r="S8" i="70"/>
  <c r="W8" i="70"/>
  <c r="AC8" i="70"/>
  <c r="K11" i="70"/>
  <c r="O11" i="70"/>
  <c r="S11" i="70"/>
  <c r="W11" i="70"/>
  <c r="AC11" i="70"/>
  <c r="AC20" i="70"/>
  <c r="W20" i="70"/>
  <c r="S20" i="70"/>
  <c r="O20" i="70"/>
  <c r="K20" i="70"/>
  <c r="AC2" i="70"/>
  <c r="W2" i="70"/>
  <c r="S2" i="70"/>
  <c r="O2" i="70"/>
  <c r="K2" i="70"/>
  <c r="AC12" i="70"/>
  <c r="W12" i="70"/>
  <c r="S12" i="70"/>
  <c r="O12" i="70"/>
  <c r="K12" i="70"/>
  <c r="AC2" i="69"/>
  <c r="W2" i="69"/>
  <c r="X2" i="69" s="1"/>
  <c r="S2" i="69"/>
  <c r="O2" i="69"/>
  <c r="P2" i="69" s="1"/>
  <c r="K2" i="69"/>
  <c r="AC2" i="68"/>
  <c r="W2" i="68"/>
  <c r="S2" i="68"/>
  <c r="O2" i="68"/>
  <c r="K2" i="68"/>
  <c r="AC3" i="68"/>
  <c r="W3" i="68"/>
  <c r="S3" i="68"/>
  <c r="O3" i="68"/>
  <c r="K3" i="68"/>
  <c r="AC4" i="68"/>
  <c r="W4" i="68"/>
  <c r="S4" i="68"/>
  <c r="O4" i="68"/>
  <c r="K4" i="68"/>
  <c r="K2" i="67"/>
  <c r="O2" i="67"/>
  <c r="S2" i="67"/>
  <c r="W2" i="67"/>
  <c r="AC2" i="67"/>
  <c r="K5" i="67"/>
  <c r="O5" i="67"/>
  <c r="S5" i="67"/>
  <c r="W5" i="67"/>
  <c r="AC5" i="67"/>
  <c r="K3" i="67"/>
  <c r="O3" i="67"/>
  <c r="S3" i="67"/>
  <c r="W3" i="67"/>
  <c r="X3" i="67" s="1"/>
  <c r="AC3" i="67"/>
  <c r="AC4" i="67"/>
  <c r="W4" i="67"/>
  <c r="S4" i="67"/>
  <c r="O4" i="67"/>
  <c r="K4" i="67"/>
  <c r="AC2" i="66"/>
  <c r="W2" i="66"/>
  <c r="X2" i="66" s="1"/>
  <c r="S2" i="66"/>
  <c r="T2" i="66" s="1"/>
  <c r="O2" i="66"/>
  <c r="P2" i="66" s="1"/>
  <c r="K2" i="66"/>
  <c r="L2" i="66" s="1"/>
  <c r="AC2" i="65"/>
  <c r="W2" i="65"/>
  <c r="X2" i="65" s="1"/>
  <c r="S2" i="65"/>
  <c r="T2" i="65" s="1"/>
  <c r="O2" i="65"/>
  <c r="P2" i="65" s="1"/>
  <c r="K2" i="65"/>
  <c r="L2" i="65" s="1"/>
  <c r="AC2" i="64"/>
  <c r="W2" i="64"/>
  <c r="X2" i="64" s="1"/>
  <c r="S2" i="64"/>
  <c r="T2" i="64" s="1"/>
  <c r="O2" i="64"/>
  <c r="P2" i="64" s="1"/>
  <c r="K2" i="64"/>
  <c r="L2" i="64" s="1"/>
  <c r="K2" i="63"/>
  <c r="O2" i="63"/>
  <c r="P2" i="63" s="1"/>
  <c r="S2" i="63"/>
  <c r="W2" i="63"/>
  <c r="AC2" i="63"/>
  <c r="AC4" i="63"/>
  <c r="W4" i="63"/>
  <c r="S4" i="63"/>
  <c r="O4" i="63"/>
  <c r="K4" i="63"/>
  <c r="L4" i="63" s="1"/>
  <c r="AC3" i="63"/>
  <c r="W3" i="63"/>
  <c r="S3" i="63"/>
  <c r="O3" i="63"/>
  <c r="K3" i="63"/>
  <c r="K3" i="62"/>
  <c r="O3" i="62"/>
  <c r="S3" i="62"/>
  <c r="W3" i="62"/>
  <c r="X3" i="62" s="1"/>
  <c r="AC3" i="62"/>
  <c r="K2" i="62"/>
  <c r="O2" i="62"/>
  <c r="S2" i="62"/>
  <c r="W2" i="62"/>
  <c r="AC2" i="62"/>
  <c r="AC6" i="61"/>
  <c r="W6" i="61"/>
  <c r="S6" i="61"/>
  <c r="O6" i="61"/>
  <c r="K6" i="61"/>
  <c r="AC7" i="61"/>
  <c r="W7" i="61"/>
  <c r="S7" i="61"/>
  <c r="O7" i="61"/>
  <c r="K7" i="61"/>
  <c r="AC3" i="61"/>
  <c r="W3" i="61"/>
  <c r="S3" i="61"/>
  <c r="O3" i="61"/>
  <c r="K3" i="61"/>
  <c r="AC2" i="61"/>
  <c r="W2" i="61"/>
  <c r="S2" i="61"/>
  <c r="O2" i="61"/>
  <c r="K2" i="61"/>
  <c r="AC5" i="61"/>
  <c r="W5" i="61"/>
  <c r="S5" i="61"/>
  <c r="O5" i="61"/>
  <c r="K5" i="61"/>
  <c r="AC4" i="61"/>
  <c r="W4" i="61"/>
  <c r="S4" i="61"/>
  <c r="O4" i="61"/>
  <c r="K4" i="61"/>
  <c r="K3" i="60"/>
  <c r="O3" i="60"/>
  <c r="S3" i="60"/>
  <c r="W3" i="60"/>
  <c r="AC3" i="60"/>
  <c r="K4" i="60"/>
  <c r="O4" i="60"/>
  <c r="S4" i="60"/>
  <c r="W4" i="60"/>
  <c r="AC4" i="60"/>
  <c r="K5" i="60"/>
  <c r="O5" i="60"/>
  <c r="S5" i="60"/>
  <c r="W5" i="60"/>
  <c r="AC5" i="60"/>
  <c r="AC6" i="60"/>
  <c r="W6" i="60"/>
  <c r="S6" i="60"/>
  <c r="O6" i="60"/>
  <c r="K6" i="60"/>
  <c r="AC7" i="60"/>
  <c r="W7" i="60"/>
  <c r="S7" i="60"/>
  <c r="O7" i="60"/>
  <c r="K7" i="60"/>
  <c r="AC2" i="60"/>
  <c r="W2" i="60"/>
  <c r="S2" i="60"/>
  <c r="O2" i="60"/>
  <c r="K2" i="60"/>
  <c r="AC3" i="59"/>
  <c r="W3" i="59"/>
  <c r="S3" i="59"/>
  <c r="O3" i="59"/>
  <c r="K3" i="59"/>
  <c r="AC2" i="59"/>
  <c r="W2" i="59"/>
  <c r="S2" i="59"/>
  <c r="O2" i="59"/>
  <c r="K2" i="59"/>
  <c r="AC4" i="59"/>
  <c r="W4" i="59"/>
  <c r="S4" i="59"/>
  <c r="O4" i="59"/>
  <c r="K4" i="59"/>
  <c r="AC2" i="58"/>
  <c r="W2" i="58"/>
  <c r="S2" i="58"/>
  <c r="O2" i="58"/>
  <c r="K2" i="58"/>
  <c r="AC3" i="58"/>
  <c r="W3" i="58"/>
  <c r="S3" i="58"/>
  <c r="O3" i="58"/>
  <c r="K3" i="58"/>
  <c r="AC4" i="58"/>
  <c r="W4" i="58"/>
  <c r="S4" i="58"/>
  <c r="O4" i="58"/>
  <c r="K4" i="58"/>
  <c r="AC6" i="58"/>
  <c r="W6" i="58"/>
  <c r="S6" i="58"/>
  <c r="O6" i="58"/>
  <c r="K6" i="58"/>
  <c r="AC5" i="58"/>
  <c r="W5" i="58"/>
  <c r="S5" i="58"/>
  <c r="O5" i="58"/>
  <c r="K5" i="58"/>
  <c r="K4" i="25"/>
  <c r="O4" i="25"/>
  <c r="S4" i="25"/>
  <c r="W4" i="25"/>
  <c r="AC4" i="25"/>
  <c r="K6" i="25"/>
  <c r="O6" i="25"/>
  <c r="S6" i="25"/>
  <c r="W6" i="25"/>
  <c r="AC6" i="25"/>
  <c r="K5" i="25"/>
  <c r="O5" i="25"/>
  <c r="S5" i="25"/>
  <c r="W5" i="25"/>
  <c r="AC5" i="25"/>
  <c r="K3" i="25"/>
  <c r="O3" i="25"/>
  <c r="S3" i="25"/>
  <c r="W3" i="25"/>
  <c r="AC3" i="25"/>
  <c r="K2" i="25"/>
  <c r="O2" i="25"/>
  <c r="S2" i="25"/>
  <c r="W2" i="25"/>
  <c r="AC2" i="25"/>
  <c r="T7" i="72" l="1"/>
  <c r="T8" i="72"/>
  <c r="L4" i="67"/>
  <c r="X7" i="73"/>
  <c r="T3" i="81"/>
  <c r="L6" i="96"/>
  <c r="X4" i="72"/>
  <c r="X4" i="63"/>
  <c r="P3" i="68"/>
  <c r="Y7" i="96"/>
  <c r="AB7" i="96" s="1"/>
  <c r="AD7" i="96" s="1"/>
  <c r="T6" i="72"/>
  <c r="P4" i="61"/>
  <c r="X4" i="67"/>
  <c r="T2" i="96"/>
  <c r="T12" i="72"/>
  <c r="T4" i="61"/>
  <c r="P6" i="61"/>
  <c r="T3" i="63"/>
  <c r="T5" i="67"/>
  <c r="P3" i="58"/>
  <c r="P7" i="60"/>
  <c r="X2" i="84"/>
  <c r="T10" i="72"/>
  <c r="X7" i="72"/>
  <c r="P4" i="96"/>
  <c r="P2" i="80"/>
  <c r="X5" i="85"/>
  <c r="T4" i="86"/>
  <c r="T7" i="96"/>
  <c r="T4" i="63"/>
  <c r="P4" i="67"/>
  <c r="L3" i="68"/>
  <c r="P3" i="77"/>
  <c r="P7" i="96"/>
  <c r="X3" i="59"/>
  <c r="L2" i="60"/>
  <c r="T6" i="60"/>
  <c r="P3" i="63"/>
  <c r="T2" i="63"/>
  <c r="T3" i="82"/>
  <c r="X4" i="90"/>
  <c r="L4" i="96"/>
  <c r="X2" i="62"/>
  <c r="X9" i="70"/>
  <c r="T2" i="75"/>
  <c r="X2" i="77"/>
  <c r="X3" i="82"/>
  <c r="X3" i="84"/>
  <c r="T2" i="85"/>
  <c r="AA4" i="90"/>
  <c r="AA2" i="94"/>
  <c r="L2" i="59"/>
  <c r="X3" i="60"/>
  <c r="X5" i="61"/>
  <c r="T2" i="62"/>
  <c r="T9" i="70"/>
  <c r="P7" i="72"/>
  <c r="L4" i="84"/>
  <c r="X8" i="96"/>
  <c r="T3" i="60"/>
  <c r="X3" i="63"/>
  <c r="L11" i="76"/>
  <c r="Y3" i="77"/>
  <c r="AB3" i="77" s="1"/>
  <c r="AD3" i="77" s="1"/>
  <c r="P3" i="81"/>
  <c r="T3" i="96"/>
  <c r="X3" i="58"/>
  <c r="T3" i="59"/>
  <c r="L2" i="61"/>
  <c r="P4" i="68"/>
  <c r="X4" i="85"/>
  <c r="P5" i="96"/>
  <c r="P3" i="96"/>
  <c r="L3" i="60"/>
  <c r="P2" i="61"/>
  <c r="L5" i="96"/>
  <c r="L2" i="96"/>
  <c r="L7" i="60"/>
  <c r="L4" i="58"/>
  <c r="L6" i="61"/>
  <c r="X4" i="68"/>
  <c r="T3" i="77"/>
  <c r="L4" i="79"/>
  <c r="T16" i="70"/>
  <c r="X6" i="96"/>
  <c r="X4" i="96"/>
  <c r="X2" i="96"/>
  <c r="X6" i="70"/>
  <c r="X10" i="76"/>
  <c r="X7" i="96"/>
  <c r="X4" i="60"/>
  <c r="T4" i="67"/>
  <c r="L4" i="70"/>
  <c r="L5" i="73"/>
  <c r="X3" i="85"/>
  <c r="T8" i="96"/>
  <c r="Y6" i="96"/>
  <c r="AB6" i="96" s="1"/>
  <c r="AD6" i="96" s="1"/>
  <c r="X4" i="61"/>
  <c r="L6" i="81"/>
  <c r="X7" i="86"/>
  <c r="P2" i="96"/>
  <c r="T4" i="59"/>
  <c r="P4" i="60"/>
  <c r="L5" i="61"/>
  <c r="L3" i="63"/>
  <c r="X2" i="67"/>
  <c r="P3" i="82"/>
  <c r="T5" i="86"/>
  <c r="Y8" i="96"/>
  <c r="AB8" i="96" s="1"/>
  <c r="AD8" i="96" s="1"/>
  <c r="AA2" i="95"/>
  <c r="L2" i="95"/>
  <c r="Z2" i="95"/>
  <c r="AA2" i="93"/>
  <c r="Z2" i="93"/>
  <c r="L2" i="93"/>
  <c r="AA2" i="92"/>
  <c r="Z2" i="91"/>
  <c r="AA3" i="90"/>
  <c r="Y3" i="90"/>
  <c r="AA2" i="90"/>
  <c r="P7" i="90"/>
  <c r="Y2" i="90"/>
  <c r="L2" i="90"/>
  <c r="X2" i="90"/>
  <c r="X6" i="90"/>
  <c r="T5" i="90"/>
  <c r="Z7" i="90"/>
  <c r="T2" i="90"/>
  <c r="T3" i="90"/>
  <c r="L4" i="90"/>
  <c r="L3" i="90"/>
  <c r="L3" i="89"/>
  <c r="Y4" i="89"/>
  <c r="X3" i="89"/>
  <c r="P3" i="89"/>
  <c r="AA2" i="89"/>
  <c r="X4" i="89"/>
  <c r="X2" i="89"/>
  <c r="Z2" i="88"/>
  <c r="AA2" i="88"/>
  <c r="L7" i="86"/>
  <c r="Y7" i="86"/>
  <c r="AB7" i="86" s="1"/>
  <c r="AD7" i="86" s="1"/>
  <c r="Y4" i="86"/>
  <c r="AB4" i="86" s="1"/>
  <c r="AD4" i="86" s="1"/>
  <c r="T3" i="86"/>
  <c r="T7" i="86"/>
  <c r="T2" i="86"/>
  <c r="T2" i="81"/>
  <c r="T6" i="81"/>
  <c r="Y3" i="81"/>
  <c r="AB3" i="81" s="1"/>
  <c r="AD3" i="81" s="1"/>
  <c r="L3" i="81"/>
  <c r="X3" i="81"/>
  <c r="X6" i="81"/>
  <c r="Y2" i="82"/>
  <c r="AB2" i="82" s="1"/>
  <c r="AD2" i="82" s="1"/>
  <c r="Y5" i="82"/>
  <c r="AB5" i="82" s="1"/>
  <c r="AD5" i="82" s="1"/>
  <c r="X5" i="82"/>
  <c r="P2" i="85"/>
  <c r="T4" i="85"/>
  <c r="Y5" i="85"/>
  <c r="AB5" i="85" s="1"/>
  <c r="AD5" i="85" s="1"/>
  <c r="Y3" i="85"/>
  <c r="AB3" i="85" s="1"/>
  <c r="AD3" i="85" s="1"/>
  <c r="L5" i="84"/>
  <c r="P5" i="84"/>
  <c r="Y2" i="84"/>
  <c r="AB2" i="84" s="1"/>
  <c r="AD2" i="84" s="1"/>
  <c r="T2" i="84"/>
  <c r="T5" i="84"/>
  <c r="Y5" i="84"/>
  <c r="AB5" i="84" s="1"/>
  <c r="AD5" i="84" s="1"/>
  <c r="L6" i="79"/>
  <c r="P8" i="79"/>
  <c r="T9" i="79"/>
  <c r="T7" i="79"/>
  <c r="Y16" i="70"/>
  <c r="AB16" i="70" s="1"/>
  <c r="AD16" i="70" s="1"/>
  <c r="X7" i="79"/>
  <c r="P3" i="72"/>
  <c r="Y11" i="72"/>
  <c r="AB11" i="72" s="1"/>
  <c r="AD11" i="72" s="1"/>
  <c r="Y5" i="96"/>
  <c r="AB5" i="96" s="1"/>
  <c r="AD5" i="96" s="1"/>
  <c r="X5" i="96"/>
  <c r="Y4" i="96"/>
  <c r="AB4" i="96" s="1"/>
  <c r="AD4" i="96" s="1"/>
  <c r="T5" i="96"/>
  <c r="X3" i="96"/>
  <c r="Y2" i="96"/>
  <c r="AB2" i="96" s="1"/>
  <c r="AD2" i="96" s="1"/>
  <c r="Y3" i="96"/>
  <c r="AB3" i="96" s="1"/>
  <c r="AD3" i="96" s="1"/>
  <c r="L8" i="96"/>
  <c r="P6" i="96"/>
  <c r="T4" i="96"/>
  <c r="L7" i="96"/>
  <c r="L3" i="96"/>
  <c r="L16" i="70"/>
  <c r="P16" i="70"/>
  <c r="P9" i="70"/>
  <c r="L9" i="70"/>
  <c r="Y3" i="72"/>
  <c r="AB3" i="72" s="1"/>
  <c r="AD3" i="72" s="1"/>
  <c r="Y3" i="80"/>
  <c r="AB3" i="80" s="1"/>
  <c r="AD3" i="80" s="1"/>
  <c r="L3" i="80"/>
  <c r="X3" i="74"/>
  <c r="L2" i="74"/>
  <c r="P3" i="74"/>
  <c r="X11" i="76"/>
  <c r="Y11" i="76"/>
  <c r="AB11" i="76" s="1"/>
  <c r="AD11" i="76" s="1"/>
  <c r="Y10" i="76"/>
  <c r="AB10" i="76" s="1"/>
  <c r="AD10" i="76" s="1"/>
  <c r="Y3" i="75"/>
  <c r="AB3" i="75" s="1"/>
  <c r="AD3" i="75" s="1"/>
  <c r="L3" i="75"/>
  <c r="T11" i="76"/>
  <c r="P11" i="76"/>
  <c r="X4" i="75"/>
  <c r="Y4" i="73"/>
  <c r="AB4" i="73" s="1"/>
  <c r="AD4" i="73" s="1"/>
  <c r="X3" i="73"/>
  <c r="P4" i="73"/>
  <c r="T6" i="73"/>
  <c r="T7" i="73"/>
  <c r="P2" i="73"/>
  <c r="T2" i="73"/>
  <c r="P3" i="73"/>
  <c r="Y2" i="67"/>
  <c r="AB2" i="67" s="1"/>
  <c r="AD2" i="67" s="1"/>
  <c r="Y2" i="66"/>
  <c r="AB2" i="66" s="1"/>
  <c r="AD2" i="66" s="1"/>
  <c r="AE2" i="66" s="1"/>
  <c r="Y4" i="68"/>
  <c r="AB4" i="68" s="1"/>
  <c r="AD4" i="68" s="1"/>
  <c r="Y2" i="63"/>
  <c r="AB2" i="63" s="1"/>
  <c r="AD2" i="63" s="1"/>
  <c r="X2" i="63"/>
  <c r="L3" i="62"/>
  <c r="Y3" i="59"/>
  <c r="AB3" i="59" s="1"/>
  <c r="AD3" i="59" s="1"/>
  <c r="Y6" i="25"/>
  <c r="AB6" i="25" s="1"/>
  <c r="AD6" i="25" s="1"/>
  <c r="Y4" i="25"/>
  <c r="AB4" i="25" s="1"/>
  <c r="AD4" i="25" s="1"/>
  <c r="X3" i="61"/>
  <c r="X6" i="61"/>
  <c r="L7" i="61"/>
  <c r="P7" i="61"/>
  <c r="T7" i="61"/>
  <c r="X7" i="61"/>
  <c r="T2" i="61"/>
  <c r="X2" i="61"/>
  <c r="Y6" i="61"/>
  <c r="AB6" i="61" s="1"/>
  <c r="AD6" i="61" s="1"/>
  <c r="Y3" i="61"/>
  <c r="AB3" i="61" s="1"/>
  <c r="AD3" i="61" s="1"/>
  <c r="Y5" i="61"/>
  <c r="AB5" i="61" s="1"/>
  <c r="AD5" i="61" s="1"/>
  <c r="Y3" i="58"/>
  <c r="AB3" i="58" s="1"/>
  <c r="AD3" i="58" s="1"/>
  <c r="L3" i="58"/>
  <c r="T6" i="58"/>
  <c r="Y2" i="95"/>
  <c r="Y2" i="94"/>
  <c r="L2" i="94"/>
  <c r="Z2" i="94"/>
  <c r="Y2" i="93"/>
  <c r="Y2" i="92"/>
  <c r="L2" i="92"/>
  <c r="Z2" i="92"/>
  <c r="AA2" i="91"/>
  <c r="P2" i="91"/>
  <c r="Y2" i="91"/>
  <c r="L2" i="91"/>
  <c r="Y5" i="90"/>
  <c r="T7" i="90"/>
  <c r="Z4" i="90"/>
  <c r="P5" i="90"/>
  <c r="X7" i="90"/>
  <c r="Z3" i="90"/>
  <c r="X3" i="90"/>
  <c r="Z2" i="90"/>
  <c r="P4" i="90"/>
  <c r="L5" i="90"/>
  <c r="Y4" i="90"/>
  <c r="P3" i="90"/>
  <c r="Z5" i="90"/>
  <c r="T4" i="90"/>
  <c r="P2" i="90"/>
  <c r="T6" i="90"/>
  <c r="Y6" i="90"/>
  <c r="X5" i="90"/>
  <c r="Y7" i="90"/>
  <c r="L6" i="90"/>
  <c r="Z6" i="90"/>
  <c r="L7" i="90"/>
  <c r="AA6" i="90"/>
  <c r="AA7" i="90"/>
  <c r="P6" i="90"/>
  <c r="AA5" i="90"/>
  <c r="Y2" i="89"/>
  <c r="T3" i="89"/>
  <c r="L4" i="89"/>
  <c r="L2" i="89"/>
  <c r="P4" i="89"/>
  <c r="Z4" i="89"/>
  <c r="P2" i="89"/>
  <c r="Z2" i="89"/>
  <c r="AA4" i="89"/>
  <c r="T2" i="89"/>
  <c r="Z3" i="89"/>
  <c r="AA3" i="89"/>
  <c r="T4" i="89"/>
  <c r="Y3" i="89"/>
  <c r="Y2" i="88"/>
  <c r="X2" i="87"/>
  <c r="Y2" i="87"/>
  <c r="AB2" i="87" s="1"/>
  <c r="AD2" i="87" s="1"/>
  <c r="L2" i="87"/>
  <c r="P2" i="87"/>
  <c r="P6" i="86"/>
  <c r="P4" i="86"/>
  <c r="L2" i="86"/>
  <c r="X6" i="86"/>
  <c r="P7" i="86"/>
  <c r="Y5" i="86"/>
  <c r="AB5" i="86" s="1"/>
  <c r="AD5" i="86" s="1"/>
  <c r="X4" i="86"/>
  <c r="P2" i="86"/>
  <c r="X2" i="86"/>
  <c r="L6" i="86"/>
  <c r="Y3" i="86"/>
  <c r="AB3" i="86" s="1"/>
  <c r="AD3" i="86" s="1"/>
  <c r="X5" i="86"/>
  <c r="L4" i="86"/>
  <c r="T6" i="86"/>
  <c r="L5" i="86"/>
  <c r="X3" i="86"/>
  <c r="Y6" i="86"/>
  <c r="AB6" i="86" s="1"/>
  <c r="AD6" i="86" s="1"/>
  <c r="P5" i="86"/>
  <c r="L3" i="86"/>
  <c r="Y2" i="86"/>
  <c r="AB2" i="86" s="1"/>
  <c r="AD2" i="86" s="1"/>
  <c r="P3" i="86"/>
  <c r="Y4" i="85"/>
  <c r="AB4" i="85" s="1"/>
  <c r="AD4" i="85" s="1"/>
  <c r="T3" i="85"/>
  <c r="P5" i="85"/>
  <c r="Y2" i="85"/>
  <c r="AB2" i="85" s="1"/>
  <c r="AD2" i="85" s="1"/>
  <c r="L3" i="85"/>
  <c r="P3" i="85"/>
  <c r="L5" i="85"/>
  <c r="L4" i="85"/>
  <c r="X2" i="85"/>
  <c r="P4" i="85"/>
  <c r="L2" i="85"/>
  <c r="T5" i="85"/>
  <c r="X5" i="84"/>
  <c r="L2" i="84"/>
  <c r="P2" i="84"/>
  <c r="P7" i="84"/>
  <c r="T4" i="84"/>
  <c r="X6" i="84"/>
  <c r="P4" i="84"/>
  <c r="Y6" i="84"/>
  <c r="AB6" i="84" s="1"/>
  <c r="AD6" i="84" s="1"/>
  <c r="Y4" i="84"/>
  <c r="AB4" i="84" s="1"/>
  <c r="AD4" i="84" s="1"/>
  <c r="L7" i="84"/>
  <c r="T3" i="84"/>
  <c r="X4" i="84"/>
  <c r="X7" i="84"/>
  <c r="P3" i="84"/>
  <c r="T7" i="84"/>
  <c r="T6" i="84"/>
  <c r="P6" i="84"/>
  <c r="L6" i="84"/>
  <c r="Y3" i="84"/>
  <c r="AB3" i="84" s="1"/>
  <c r="AD3" i="84" s="1"/>
  <c r="L3" i="84"/>
  <c r="Y7" i="84"/>
  <c r="AB7" i="84" s="1"/>
  <c r="AD7" i="84" s="1"/>
  <c r="Y2" i="83"/>
  <c r="AB2" i="83" s="1"/>
  <c r="AD2" i="83" s="1"/>
  <c r="Y3" i="82"/>
  <c r="AB3" i="82" s="1"/>
  <c r="AD3" i="82" s="1"/>
  <c r="P5" i="82"/>
  <c r="T5" i="82"/>
  <c r="L4" i="82"/>
  <c r="X4" i="82"/>
  <c r="T2" i="82"/>
  <c r="P4" i="82"/>
  <c r="L3" i="82"/>
  <c r="X2" i="82"/>
  <c r="L2" i="82"/>
  <c r="T4" i="82"/>
  <c r="L5" i="82"/>
  <c r="Y4" i="82"/>
  <c r="AB4" i="82" s="1"/>
  <c r="AD4" i="82" s="1"/>
  <c r="P2" i="82"/>
  <c r="Y5" i="81"/>
  <c r="AB5" i="81" s="1"/>
  <c r="AD5" i="81" s="1"/>
  <c r="P6" i="81"/>
  <c r="X5" i="81"/>
  <c r="X4" i="81"/>
  <c r="P4" i="81"/>
  <c r="Y6" i="81"/>
  <c r="AB6" i="81" s="1"/>
  <c r="AD6" i="81" s="1"/>
  <c r="P5" i="81"/>
  <c r="P2" i="81"/>
  <c r="L5" i="81"/>
  <c r="P7" i="81"/>
  <c r="L4" i="81"/>
  <c r="T5" i="81"/>
  <c r="Y4" i="81"/>
  <c r="AB4" i="81" s="1"/>
  <c r="AD4" i="81" s="1"/>
  <c r="L7" i="81"/>
  <c r="T4" i="81"/>
  <c r="X7" i="81"/>
  <c r="T7" i="81"/>
  <c r="L2" i="81"/>
  <c r="Y7" i="81"/>
  <c r="AB7" i="81" s="1"/>
  <c r="AD7" i="81" s="1"/>
  <c r="X2" i="81"/>
  <c r="Y2" i="81"/>
  <c r="AB2" i="81" s="1"/>
  <c r="AD2" i="81" s="1"/>
  <c r="T2" i="80"/>
  <c r="X2" i="80"/>
  <c r="Y2" i="80"/>
  <c r="AB2" i="80" s="1"/>
  <c r="AD2" i="80" s="1"/>
  <c r="P3" i="80"/>
  <c r="L2" i="80"/>
  <c r="T3" i="80"/>
  <c r="P4" i="79"/>
  <c r="P7" i="79"/>
  <c r="X9" i="79"/>
  <c r="X2" i="79"/>
  <c r="Y10" i="79"/>
  <c r="AB10" i="79" s="1"/>
  <c r="AD10" i="79" s="1"/>
  <c r="L7" i="79"/>
  <c r="X6" i="79"/>
  <c r="L3" i="79"/>
  <c r="Y8" i="79"/>
  <c r="AB8" i="79" s="1"/>
  <c r="AD8" i="79" s="1"/>
  <c r="T10" i="79"/>
  <c r="Y5" i="79"/>
  <c r="AB5" i="79" s="1"/>
  <c r="AD5" i="79" s="1"/>
  <c r="Y9" i="79"/>
  <c r="AB9" i="79" s="1"/>
  <c r="AD9" i="79" s="1"/>
  <c r="T3" i="79"/>
  <c r="P5" i="79"/>
  <c r="X3" i="79"/>
  <c r="T8" i="79"/>
  <c r="Y4" i="79"/>
  <c r="AB4" i="79" s="1"/>
  <c r="AD4" i="79" s="1"/>
  <c r="T5" i="79"/>
  <c r="Y3" i="79"/>
  <c r="AB3" i="79" s="1"/>
  <c r="AD3" i="79" s="1"/>
  <c r="L2" i="79"/>
  <c r="X10" i="79"/>
  <c r="Y7" i="79"/>
  <c r="AB7" i="79" s="1"/>
  <c r="AD7" i="79" s="1"/>
  <c r="P6" i="79"/>
  <c r="P2" i="79"/>
  <c r="L10" i="79"/>
  <c r="X5" i="79"/>
  <c r="T6" i="79"/>
  <c r="P3" i="79"/>
  <c r="X8" i="79"/>
  <c r="L9" i="79"/>
  <c r="T2" i="79"/>
  <c r="P10" i="79"/>
  <c r="L5" i="79"/>
  <c r="Y2" i="79"/>
  <c r="AB2" i="79" s="1"/>
  <c r="AD2" i="79" s="1"/>
  <c r="L8" i="79"/>
  <c r="X4" i="79"/>
  <c r="P9" i="79"/>
  <c r="T4" i="79"/>
  <c r="Y6" i="79"/>
  <c r="AB6" i="79" s="1"/>
  <c r="AD6" i="79" s="1"/>
  <c r="T2" i="78"/>
  <c r="Y2" i="78"/>
  <c r="AB2" i="78" s="1"/>
  <c r="AD2" i="78" s="1"/>
  <c r="T5" i="74"/>
  <c r="L3" i="77"/>
  <c r="L2" i="77"/>
  <c r="P2" i="77"/>
  <c r="X3" i="77"/>
  <c r="T2" i="77"/>
  <c r="Y2" i="77"/>
  <c r="AB2" i="77" s="1"/>
  <c r="AD2" i="77" s="1"/>
  <c r="L10" i="76"/>
  <c r="X17" i="76"/>
  <c r="Y17" i="76"/>
  <c r="AB17" i="76" s="1"/>
  <c r="AD17" i="76" s="1"/>
  <c r="T3" i="76"/>
  <c r="T17" i="76"/>
  <c r="T10" i="76"/>
  <c r="T16" i="76"/>
  <c r="P17" i="76"/>
  <c r="P10" i="76"/>
  <c r="L17" i="76"/>
  <c r="X3" i="76"/>
  <c r="L3" i="76"/>
  <c r="Y3" i="76"/>
  <c r="AB3" i="76" s="1"/>
  <c r="AD3" i="76" s="1"/>
  <c r="L16" i="76"/>
  <c r="L15" i="76"/>
  <c r="Y16" i="76"/>
  <c r="AB16" i="76" s="1"/>
  <c r="AD16" i="76" s="1"/>
  <c r="P16" i="76"/>
  <c r="P15" i="76"/>
  <c r="Y15" i="76"/>
  <c r="AB15" i="76" s="1"/>
  <c r="AD15" i="76" s="1"/>
  <c r="P3" i="76"/>
  <c r="X6" i="76"/>
  <c r="T6" i="76"/>
  <c r="X16" i="76"/>
  <c r="T15" i="76"/>
  <c r="X15" i="76"/>
  <c r="T7" i="76"/>
  <c r="X13" i="76"/>
  <c r="P6" i="76"/>
  <c r="L6" i="76"/>
  <c r="P13" i="76"/>
  <c r="Y6" i="76"/>
  <c r="AB6" i="76" s="1"/>
  <c r="AD6" i="76" s="1"/>
  <c r="L13" i="76"/>
  <c r="Y13" i="76"/>
  <c r="AB13" i="76" s="1"/>
  <c r="AD13" i="76" s="1"/>
  <c r="T8" i="76"/>
  <c r="P5" i="76"/>
  <c r="L5" i="76"/>
  <c r="T13" i="76"/>
  <c r="X8" i="76"/>
  <c r="T9" i="76"/>
  <c r="Y8" i="76"/>
  <c r="AB8" i="76" s="1"/>
  <c r="AD8" i="76" s="1"/>
  <c r="T14" i="76"/>
  <c r="Y5" i="76"/>
  <c r="AB5" i="76" s="1"/>
  <c r="AD5" i="76" s="1"/>
  <c r="T5" i="76"/>
  <c r="X5" i="76"/>
  <c r="L9" i="76"/>
  <c r="L8" i="76"/>
  <c r="P8" i="76"/>
  <c r="P9" i="76"/>
  <c r="P2" i="76"/>
  <c r="Y9" i="76"/>
  <c r="AB9" i="76" s="1"/>
  <c r="AD9" i="76" s="1"/>
  <c r="P4" i="76"/>
  <c r="Y2" i="76"/>
  <c r="AB2" i="76" s="1"/>
  <c r="AD2" i="76" s="1"/>
  <c r="X9" i="76"/>
  <c r="L2" i="76"/>
  <c r="L14" i="76"/>
  <c r="X12" i="76"/>
  <c r="P14" i="76"/>
  <c r="X2" i="76"/>
  <c r="X7" i="76"/>
  <c r="L12" i="76"/>
  <c r="T2" i="76"/>
  <c r="Y12" i="76"/>
  <c r="AB12" i="76" s="1"/>
  <c r="AD12" i="76" s="1"/>
  <c r="P12" i="76"/>
  <c r="T4" i="76"/>
  <c r="X14" i="76"/>
  <c r="L7" i="76"/>
  <c r="T12" i="76"/>
  <c r="X4" i="76"/>
  <c r="L4" i="76"/>
  <c r="Y4" i="76"/>
  <c r="AB4" i="76" s="1"/>
  <c r="AD4" i="76" s="1"/>
  <c r="Y7" i="76"/>
  <c r="AB7" i="76" s="1"/>
  <c r="AD7" i="76" s="1"/>
  <c r="Y14" i="76"/>
  <c r="AB14" i="76" s="1"/>
  <c r="AD14" i="76" s="1"/>
  <c r="P7" i="76"/>
  <c r="P2" i="75"/>
  <c r="L5" i="75"/>
  <c r="Y4" i="75"/>
  <c r="AB4" i="75" s="1"/>
  <c r="AD4" i="75" s="1"/>
  <c r="P3" i="75"/>
  <c r="X2" i="75"/>
  <c r="X5" i="75"/>
  <c r="L4" i="75"/>
  <c r="T3" i="75"/>
  <c r="X3" i="75"/>
  <c r="L2" i="75"/>
  <c r="T4" i="75"/>
  <c r="P5" i="75"/>
  <c r="Y2" i="75"/>
  <c r="AB2" i="75" s="1"/>
  <c r="AD2" i="75" s="1"/>
  <c r="T5" i="75"/>
  <c r="P4" i="75"/>
  <c r="Y5" i="75"/>
  <c r="AB5" i="75" s="1"/>
  <c r="AD5" i="75" s="1"/>
  <c r="T4" i="74"/>
  <c r="P2" i="74"/>
  <c r="X2" i="74"/>
  <c r="L5" i="74"/>
  <c r="P5" i="74"/>
  <c r="Y2" i="74"/>
  <c r="AB2" i="74" s="1"/>
  <c r="AD2" i="74" s="1"/>
  <c r="Y4" i="74"/>
  <c r="AB4" i="74" s="1"/>
  <c r="AD4" i="74" s="1"/>
  <c r="X5" i="74"/>
  <c r="Y5" i="74"/>
  <c r="AB5" i="74" s="1"/>
  <c r="AD5" i="74" s="1"/>
  <c r="P4" i="74"/>
  <c r="Y3" i="74"/>
  <c r="AB3" i="74" s="1"/>
  <c r="AD3" i="74" s="1"/>
  <c r="L3" i="74"/>
  <c r="X4" i="74"/>
  <c r="T2" i="74"/>
  <c r="T3" i="74"/>
  <c r="L4" i="74"/>
  <c r="Y6" i="73"/>
  <c r="AB6" i="73" s="1"/>
  <c r="AD6" i="73" s="1"/>
  <c r="T3" i="73"/>
  <c r="L2" i="73"/>
  <c r="X6" i="73"/>
  <c r="Y7" i="73"/>
  <c r="AB7" i="73" s="1"/>
  <c r="AD7" i="73" s="1"/>
  <c r="Y3" i="73"/>
  <c r="AB3" i="73" s="1"/>
  <c r="AD3" i="73" s="1"/>
  <c r="P5" i="73"/>
  <c r="L3" i="73"/>
  <c r="X2" i="73"/>
  <c r="L7" i="73"/>
  <c r="T4" i="73"/>
  <c r="Y2" i="73"/>
  <c r="AB2" i="73" s="1"/>
  <c r="AD2" i="73" s="1"/>
  <c r="T5" i="73"/>
  <c r="L6" i="73"/>
  <c r="P7" i="73"/>
  <c r="X4" i="73"/>
  <c r="X5" i="73"/>
  <c r="P6" i="73"/>
  <c r="Y5" i="73"/>
  <c r="AB5" i="73" s="1"/>
  <c r="AD5" i="73" s="1"/>
  <c r="L4" i="73"/>
  <c r="L7" i="72"/>
  <c r="L2" i="72"/>
  <c r="P2" i="72"/>
  <c r="Y10" i="72"/>
  <c r="AB10" i="72" s="1"/>
  <c r="AD10" i="72" s="1"/>
  <c r="L12" i="72"/>
  <c r="T2" i="72"/>
  <c r="L9" i="72"/>
  <c r="P10" i="72"/>
  <c r="Y8" i="72"/>
  <c r="AB8" i="72" s="1"/>
  <c r="AD8" i="72" s="1"/>
  <c r="X2" i="72"/>
  <c r="P9" i="72"/>
  <c r="L6" i="72"/>
  <c r="Y4" i="72"/>
  <c r="AB4" i="72" s="1"/>
  <c r="AD4" i="72" s="1"/>
  <c r="P8" i="72"/>
  <c r="Y7" i="72"/>
  <c r="AB7" i="72" s="1"/>
  <c r="AD7" i="72" s="1"/>
  <c r="Y5" i="72"/>
  <c r="AB5" i="72" s="1"/>
  <c r="AD5" i="72" s="1"/>
  <c r="P12" i="72"/>
  <c r="P6" i="72"/>
  <c r="Y2" i="72"/>
  <c r="AB2" i="72" s="1"/>
  <c r="AD2" i="72" s="1"/>
  <c r="L11" i="72"/>
  <c r="L5" i="72"/>
  <c r="P4" i="72"/>
  <c r="P5" i="72"/>
  <c r="P11" i="72"/>
  <c r="L4" i="72"/>
  <c r="L3" i="72"/>
  <c r="Y9" i="72"/>
  <c r="AB9" i="72" s="1"/>
  <c r="AD9" i="72" s="1"/>
  <c r="L10" i="72"/>
  <c r="Y12" i="72"/>
  <c r="AB12" i="72" s="1"/>
  <c r="AD12" i="72" s="1"/>
  <c r="L8" i="72"/>
  <c r="Y6" i="72"/>
  <c r="AB6" i="72" s="1"/>
  <c r="AD6" i="72" s="1"/>
  <c r="X16" i="70"/>
  <c r="L6" i="70"/>
  <c r="Y14" i="70"/>
  <c r="AB14" i="70" s="1"/>
  <c r="AD14" i="70" s="1"/>
  <c r="Y9" i="70"/>
  <c r="AB9" i="70" s="1"/>
  <c r="AD9" i="70" s="1"/>
  <c r="Y6" i="70"/>
  <c r="AB6" i="70" s="1"/>
  <c r="AD6" i="70" s="1"/>
  <c r="P6" i="70"/>
  <c r="T15" i="70"/>
  <c r="P14" i="70"/>
  <c r="L14" i="70"/>
  <c r="T6" i="70"/>
  <c r="P15" i="70"/>
  <c r="X15" i="70"/>
  <c r="X14" i="70"/>
  <c r="P5" i="70"/>
  <c r="L15" i="70"/>
  <c r="T14" i="70"/>
  <c r="X5" i="70"/>
  <c r="L5" i="70"/>
  <c r="T17" i="70"/>
  <c r="T5" i="70"/>
  <c r="Y15" i="70"/>
  <c r="AB15" i="70" s="1"/>
  <c r="AD15" i="70" s="1"/>
  <c r="P17" i="70"/>
  <c r="X17" i="70"/>
  <c r="Y17" i="70"/>
  <c r="AB17" i="70" s="1"/>
  <c r="AD17" i="70" s="1"/>
  <c r="Y7" i="70"/>
  <c r="AB7" i="70" s="1"/>
  <c r="AD7" i="70" s="1"/>
  <c r="Y5" i="70"/>
  <c r="AB5" i="70" s="1"/>
  <c r="AD5" i="70" s="1"/>
  <c r="L7" i="70"/>
  <c r="T13" i="70"/>
  <c r="T7" i="70"/>
  <c r="L17" i="70"/>
  <c r="T10" i="70"/>
  <c r="P7" i="70"/>
  <c r="Y19" i="70"/>
  <c r="AB19" i="70" s="1"/>
  <c r="AD19" i="70" s="1"/>
  <c r="X19" i="70"/>
  <c r="X7" i="70"/>
  <c r="P19" i="70"/>
  <c r="X13" i="70"/>
  <c r="X3" i="70"/>
  <c r="L19" i="70"/>
  <c r="T19" i="70"/>
  <c r="T20" i="70"/>
  <c r="P13" i="70"/>
  <c r="L13" i="70"/>
  <c r="Y13" i="70"/>
  <c r="AB13" i="70" s="1"/>
  <c r="AD13" i="70" s="1"/>
  <c r="Y10" i="70"/>
  <c r="AB10" i="70" s="1"/>
  <c r="AD10" i="70" s="1"/>
  <c r="P10" i="70"/>
  <c r="T3" i="70"/>
  <c r="Y3" i="70"/>
  <c r="AB3" i="70" s="1"/>
  <c r="AD3" i="70" s="1"/>
  <c r="T11" i="70"/>
  <c r="T12" i="70"/>
  <c r="L10" i="70"/>
  <c r="X10" i="70"/>
  <c r="X12" i="70"/>
  <c r="P3" i="70"/>
  <c r="Y4" i="70"/>
  <c r="AB4" i="70" s="1"/>
  <c r="AD4" i="70" s="1"/>
  <c r="T18" i="70"/>
  <c r="T8" i="70"/>
  <c r="P4" i="70"/>
  <c r="Y8" i="70"/>
  <c r="AB8" i="70" s="1"/>
  <c r="AD8" i="70" s="1"/>
  <c r="X4" i="70"/>
  <c r="L3" i="70"/>
  <c r="T4" i="70"/>
  <c r="P18" i="70"/>
  <c r="L18" i="70"/>
  <c r="P8" i="70"/>
  <c r="L11" i="70"/>
  <c r="Y18" i="70"/>
  <c r="AB18" i="70" s="1"/>
  <c r="AD18" i="70" s="1"/>
  <c r="X18" i="70"/>
  <c r="L2" i="70"/>
  <c r="X8" i="70"/>
  <c r="P20" i="70"/>
  <c r="L12" i="70"/>
  <c r="P11" i="70"/>
  <c r="Y11" i="70"/>
  <c r="AB11" i="70" s="1"/>
  <c r="AD11" i="70" s="1"/>
  <c r="X11" i="70"/>
  <c r="L8" i="70"/>
  <c r="P12" i="70"/>
  <c r="T2" i="70"/>
  <c r="X2" i="70"/>
  <c r="Y20" i="70"/>
  <c r="AB20" i="70" s="1"/>
  <c r="AD20" i="70" s="1"/>
  <c r="L20" i="70"/>
  <c r="Y12" i="70"/>
  <c r="AB12" i="70" s="1"/>
  <c r="AD12" i="70" s="1"/>
  <c r="P2" i="70"/>
  <c r="X20" i="70"/>
  <c r="Y2" i="70"/>
  <c r="AB2" i="70" s="1"/>
  <c r="AD2" i="70" s="1"/>
  <c r="T3" i="68"/>
  <c r="T2" i="68"/>
  <c r="L4" i="68"/>
  <c r="X2" i="68"/>
  <c r="Y2" i="68"/>
  <c r="AB2" i="68" s="1"/>
  <c r="AD2" i="68" s="1"/>
  <c r="AE2" i="68" s="1"/>
  <c r="L2" i="68"/>
  <c r="P2" i="68"/>
  <c r="Y2" i="69"/>
  <c r="AB2" i="69" s="1"/>
  <c r="AD2" i="69" s="1"/>
  <c r="T2" i="69"/>
  <c r="L2" i="69"/>
  <c r="T4" i="68"/>
  <c r="Y3" i="68"/>
  <c r="AB3" i="68" s="1"/>
  <c r="AD3" i="68" s="1"/>
  <c r="X3" i="68"/>
  <c r="P5" i="67"/>
  <c r="L5" i="67"/>
  <c r="T2" i="67"/>
  <c r="P3" i="67"/>
  <c r="L3" i="67"/>
  <c r="P2" i="67"/>
  <c r="Y5" i="67"/>
  <c r="AB5" i="67" s="1"/>
  <c r="AD5" i="67" s="1"/>
  <c r="L2" i="67"/>
  <c r="T3" i="67"/>
  <c r="X5" i="67"/>
  <c r="Y3" i="67"/>
  <c r="AB3" i="67" s="1"/>
  <c r="AD3" i="67" s="1"/>
  <c r="Y4" i="67"/>
  <c r="AB4" i="67" s="1"/>
  <c r="AD4" i="67" s="1"/>
  <c r="Y2" i="65"/>
  <c r="AB2" i="65" s="1"/>
  <c r="AD2" i="65" s="1"/>
  <c r="AE2" i="65" s="1"/>
  <c r="Y2" i="64"/>
  <c r="AB2" i="64" s="1"/>
  <c r="AD2" i="64" s="1"/>
  <c r="AE2" i="64" s="1"/>
  <c r="L2" i="63"/>
  <c r="P4" i="63"/>
  <c r="Y4" i="63"/>
  <c r="AB4" i="63" s="1"/>
  <c r="AD4" i="63" s="1"/>
  <c r="Y3" i="63"/>
  <c r="AB3" i="63" s="1"/>
  <c r="AD3" i="63" s="1"/>
  <c r="P2" i="62"/>
  <c r="Y3" i="62"/>
  <c r="AB3" i="62" s="1"/>
  <c r="AD3" i="62" s="1"/>
  <c r="L2" i="62"/>
  <c r="Y2" i="62"/>
  <c r="AB2" i="62" s="1"/>
  <c r="AD2" i="62" s="1"/>
  <c r="T3" i="62"/>
  <c r="P3" i="62"/>
  <c r="T6" i="61"/>
  <c r="Y4" i="61"/>
  <c r="AB4" i="61" s="1"/>
  <c r="AD4" i="61" s="1"/>
  <c r="L3" i="61"/>
  <c r="P5" i="61"/>
  <c r="L4" i="61"/>
  <c r="T5" i="61"/>
  <c r="Y2" i="61"/>
  <c r="AB2" i="61" s="1"/>
  <c r="AD2" i="61" s="1"/>
  <c r="P3" i="61"/>
  <c r="T3" i="61"/>
  <c r="Y7" i="61"/>
  <c r="AB7" i="61" s="1"/>
  <c r="AD7" i="61" s="1"/>
  <c r="Y3" i="60"/>
  <c r="AB3" i="60" s="1"/>
  <c r="AD3" i="60" s="1"/>
  <c r="X7" i="60"/>
  <c r="P3" i="60"/>
  <c r="Y4" i="60"/>
  <c r="AB4" i="60" s="1"/>
  <c r="AD4" i="60" s="1"/>
  <c r="P5" i="60"/>
  <c r="T4" i="60"/>
  <c r="X6" i="60"/>
  <c r="P2" i="60"/>
  <c r="X5" i="60"/>
  <c r="L4" i="60"/>
  <c r="X2" i="60"/>
  <c r="Y5" i="60"/>
  <c r="AB5" i="60" s="1"/>
  <c r="AD5" i="60" s="1"/>
  <c r="T5" i="60"/>
  <c r="T7" i="60"/>
  <c r="T2" i="60"/>
  <c r="L6" i="60"/>
  <c r="L5" i="60"/>
  <c r="Y7" i="60"/>
  <c r="AB7" i="60" s="1"/>
  <c r="AD7" i="60" s="1"/>
  <c r="P6" i="60"/>
  <c r="Y2" i="60"/>
  <c r="AB2" i="60" s="1"/>
  <c r="AD2" i="60" s="1"/>
  <c r="Y6" i="60"/>
  <c r="AB6" i="60" s="1"/>
  <c r="AD6" i="60" s="1"/>
  <c r="X4" i="59"/>
  <c r="L3" i="59"/>
  <c r="P3" i="59"/>
  <c r="Y4" i="59"/>
  <c r="AB4" i="59" s="1"/>
  <c r="AD4" i="59" s="1"/>
  <c r="P2" i="59"/>
  <c r="L4" i="59"/>
  <c r="X2" i="59"/>
  <c r="T2" i="59"/>
  <c r="Y2" i="59"/>
  <c r="AB2" i="59" s="1"/>
  <c r="AD2" i="59" s="1"/>
  <c r="P4" i="59"/>
  <c r="Y5" i="25"/>
  <c r="AB5" i="25" s="1"/>
  <c r="AD5" i="25" s="1"/>
  <c r="T4" i="58"/>
  <c r="P6" i="58"/>
  <c r="X4" i="58"/>
  <c r="L5" i="58"/>
  <c r="L2" i="58"/>
  <c r="P2" i="58"/>
  <c r="X5" i="58"/>
  <c r="T2" i="58"/>
  <c r="X2" i="58"/>
  <c r="Y6" i="58"/>
  <c r="AB6" i="58" s="1"/>
  <c r="AD6" i="58" s="1"/>
  <c r="P4" i="58"/>
  <c r="Y4" i="58"/>
  <c r="AB4" i="58" s="1"/>
  <c r="AD4" i="58" s="1"/>
  <c r="P5" i="58"/>
  <c r="X6" i="58"/>
  <c r="T3" i="58"/>
  <c r="Y2" i="58"/>
  <c r="AB2" i="58" s="1"/>
  <c r="AD2" i="58" s="1"/>
  <c r="T5" i="58"/>
  <c r="Y5" i="58"/>
  <c r="AB5" i="58" s="1"/>
  <c r="AD5" i="58" s="1"/>
  <c r="L6" i="58"/>
  <c r="L4" i="25"/>
  <c r="Y2" i="25"/>
  <c r="AB2" i="25" s="1"/>
  <c r="AD2" i="25" s="1"/>
  <c r="Y3" i="25"/>
  <c r="AB3" i="25" s="1"/>
  <c r="AD3" i="25" s="1"/>
  <c r="AE4" i="67" l="1"/>
  <c r="AE3" i="96"/>
  <c r="AE3" i="63"/>
  <c r="AE2" i="96"/>
  <c r="AE4" i="96"/>
  <c r="AE3" i="62"/>
  <c r="AE5" i="67"/>
  <c r="AE5" i="96"/>
  <c r="AE2" i="63"/>
  <c r="AB5" i="90"/>
  <c r="AD5" i="90" s="1"/>
  <c r="AB2" i="95"/>
  <c r="AD2" i="95" s="1"/>
  <c r="AE2" i="95" s="1"/>
  <c r="AB2" i="93"/>
  <c r="AD2" i="93" s="1"/>
  <c r="AE2" i="93" s="1"/>
  <c r="AB2" i="92"/>
  <c r="AD2" i="92" s="1"/>
  <c r="AE2" i="92" s="1"/>
  <c r="AB2" i="91"/>
  <c r="AD2" i="91" s="1"/>
  <c r="AE2" i="91" s="1"/>
  <c r="AB4" i="90"/>
  <c r="AD4" i="90" s="1"/>
  <c r="AB3" i="90"/>
  <c r="AD3" i="90" s="1"/>
  <c r="AB2" i="90"/>
  <c r="AD2" i="90" s="1"/>
  <c r="AB4" i="89"/>
  <c r="AD4" i="89" s="1"/>
  <c r="AB2" i="89"/>
  <c r="AD2" i="89" s="1"/>
  <c r="AB2" i="88"/>
  <c r="AD2" i="88" s="1"/>
  <c r="AE2" i="88" s="1"/>
  <c r="AE7" i="86"/>
  <c r="AE3" i="81"/>
  <c r="AE5" i="82"/>
  <c r="AE4" i="85"/>
  <c r="AE3" i="85"/>
  <c r="AE5" i="85"/>
  <c r="AE4" i="84"/>
  <c r="AE5" i="84"/>
  <c r="AE8" i="96"/>
  <c r="AE7" i="96"/>
  <c r="AE6" i="96"/>
  <c r="AE10" i="72"/>
  <c r="AE4" i="75"/>
  <c r="AE3" i="73"/>
  <c r="AE4" i="68"/>
  <c r="AE7" i="60"/>
  <c r="AE5" i="60"/>
  <c r="AE2" i="62"/>
  <c r="AE7" i="61"/>
  <c r="AE2" i="61"/>
  <c r="AB2" i="94"/>
  <c r="AD2" i="94" s="1"/>
  <c r="AE2" i="94" s="1"/>
  <c r="AB7" i="90"/>
  <c r="AD7" i="90" s="1"/>
  <c r="AB6" i="90"/>
  <c r="AD6" i="90" s="1"/>
  <c r="AB3" i="89"/>
  <c r="AD3" i="89" s="1"/>
  <c r="AE3" i="89" s="1"/>
  <c r="AE2" i="87"/>
  <c r="AE4" i="86"/>
  <c r="AE2" i="86"/>
  <c r="AE6" i="86"/>
  <c r="AE5" i="86"/>
  <c r="AE3" i="86"/>
  <c r="AE2" i="85"/>
  <c r="AE7" i="84"/>
  <c r="AE2" i="84"/>
  <c r="AE3" i="84"/>
  <c r="AE6" i="84"/>
  <c r="AE2" i="83"/>
  <c r="AE2" i="82"/>
  <c r="AE4" i="82"/>
  <c r="AE3" i="82"/>
  <c r="AE6" i="81"/>
  <c r="AE4" i="81"/>
  <c r="AE7" i="81"/>
  <c r="AE5" i="81"/>
  <c r="AE2" i="81"/>
  <c r="AE2" i="80"/>
  <c r="AE3" i="80"/>
  <c r="AE4" i="79"/>
  <c r="AE10" i="79"/>
  <c r="AE7" i="79"/>
  <c r="AE6" i="79"/>
  <c r="AE2" i="79"/>
  <c r="AE8" i="79"/>
  <c r="AE3" i="79"/>
  <c r="AE5" i="79"/>
  <c r="AE9" i="79"/>
  <c r="AE2" i="78"/>
  <c r="AE3" i="77"/>
  <c r="AE2" i="77"/>
  <c r="AE10" i="76"/>
  <c r="AE11" i="76"/>
  <c r="AE3" i="76"/>
  <c r="AE17" i="76"/>
  <c r="AE15" i="76"/>
  <c r="AE16" i="76"/>
  <c r="AE6" i="76"/>
  <c r="AE13" i="76"/>
  <c r="AE5" i="76"/>
  <c r="AE9" i="76"/>
  <c r="AE8" i="76"/>
  <c r="AE14" i="76"/>
  <c r="AE12" i="76"/>
  <c r="AE2" i="76"/>
  <c r="AE7" i="76"/>
  <c r="AE4" i="76"/>
  <c r="AE2" i="75"/>
  <c r="AE5" i="75"/>
  <c r="AE3" i="75"/>
  <c r="AE2" i="74"/>
  <c r="AE5" i="74"/>
  <c r="AE4" i="74"/>
  <c r="AE3" i="74"/>
  <c r="AE5" i="73"/>
  <c r="AE2" i="73"/>
  <c r="AE7" i="73"/>
  <c r="AE6" i="73"/>
  <c r="AE4" i="73"/>
  <c r="AE2" i="72"/>
  <c r="AE8" i="72"/>
  <c r="AE6" i="72"/>
  <c r="AE11" i="72"/>
  <c r="AE9" i="72"/>
  <c r="AE3" i="72"/>
  <c r="AE7" i="72"/>
  <c r="AE12" i="72"/>
  <c r="AE5" i="72"/>
  <c r="AE4" i="72"/>
  <c r="AE9" i="70"/>
  <c r="AE16" i="70"/>
  <c r="AE14" i="70"/>
  <c r="AE6" i="70"/>
  <c r="AE17" i="70"/>
  <c r="AE15" i="70"/>
  <c r="AE5" i="70"/>
  <c r="AE19" i="70"/>
  <c r="AE7" i="70"/>
  <c r="AE10" i="70"/>
  <c r="AE13" i="70"/>
  <c r="AE4" i="70"/>
  <c r="AE3" i="70"/>
  <c r="AE20" i="70"/>
  <c r="AE11" i="70"/>
  <c r="AE18" i="70"/>
  <c r="AE8" i="70"/>
  <c r="AE2" i="70"/>
  <c r="AE12" i="70"/>
  <c r="AE2" i="69"/>
  <c r="AE3" i="68"/>
  <c r="AE2" i="67"/>
  <c r="AE3" i="67"/>
  <c r="AE4" i="63"/>
  <c r="AE4" i="61"/>
  <c r="AE3" i="61"/>
  <c r="AE5" i="61"/>
  <c r="AE6" i="61"/>
  <c r="AE4" i="60"/>
  <c r="AE3" i="60"/>
  <c r="AE6" i="60"/>
  <c r="AE2" i="60"/>
  <c r="AE2" i="59"/>
  <c r="AE3" i="59"/>
  <c r="AE4" i="59"/>
  <c r="AE2" i="58"/>
  <c r="AE4" i="58"/>
  <c r="AE5" i="58"/>
  <c r="AE6" i="58"/>
  <c r="AE3" i="58"/>
  <c r="T6" i="25"/>
  <c r="T4" i="25"/>
  <c r="P2" i="25"/>
  <c r="P4" i="25"/>
  <c r="X5" i="25"/>
  <c r="X4" i="25"/>
  <c r="X6" i="25"/>
  <c r="P6" i="25"/>
  <c r="L5" i="25"/>
  <c r="L6" i="25"/>
  <c r="T3" i="25"/>
  <c r="T5" i="25"/>
  <c r="P5" i="25"/>
  <c r="P3" i="25"/>
  <c r="X3" i="25"/>
  <c r="L3" i="25"/>
  <c r="X2" i="25"/>
  <c r="T2" i="25"/>
  <c r="L2" i="25"/>
  <c r="AE2" i="90" l="1"/>
  <c r="AE7" i="90"/>
  <c r="AE5" i="90"/>
  <c r="AE4" i="90"/>
  <c r="AE3" i="90"/>
  <c r="AE6" i="90"/>
  <c r="AE2" i="89"/>
  <c r="AE4" i="89"/>
  <c r="AE4" i="25"/>
  <c r="AE5" i="25" l="1"/>
  <c r="AE6" i="25"/>
  <c r="AE2" i="25"/>
  <c r="AE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9D93E0B4-29EC-44D9-9E9D-CD954CAB914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solo costume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2" authorId="0" shapeId="0" xr:uid="{36DACC2A-F3E1-4A1D-87CB-396A2CC749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solo choreography and artistic impression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F62CB89C-BEF0-4EC1-BF9B-AD1C28EC972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duo costume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2" authorId="0" shapeId="0" xr:uid="{E6C1E221-21D9-4FA4-A1D2-C223500051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duo choreography and artistic impression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3" authorId="0" shapeId="0" xr:uid="{1E419486-32AB-4C7F-B121-72322EF609E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group costume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2" authorId="0" shapeId="0" xr:uid="{BDBF0816-37E2-449D-9BE4-282946E519F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Best group choreography and artistic impression</t>
        </r>
      </text>
    </comment>
  </commentList>
</comments>
</file>

<file path=xl/sharedStrings.xml><?xml version="1.0" encoding="utf-8"?>
<sst xmlns="http://schemas.openxmlformats.org/spreadsheetml/2006/main" count="2384" uniqueCount="200">
  <si>
    <t>Lane</t>
  </si>
  <si>
    <t>Level</t>
  </si>
  <si>
    <t>Athlete</t>
  </si>
  <si>
    <t>Club</t>
  </si>
  <si>
    <t>Country</t>
  </si>
  <si>
    <t>Judge 1
Tamara Beljak</t>
  </si>
  <si>
    <t>J1 (-)</t>
  </si>
  <si>
    <t>J1 (Rank)</t>
  </si>
  <si>
    <t>Judge 2
Tihomir Bendelja</t>
  </si>
  <si>
    <t>J2 (-)</t>
  </si>
  <si>
    <t>J2 (Rank)</t>
  </si>
  <si>
    <t>J3 (-)</t>
  </si>
  <si>
    <t>J3 (Rank)</t>
  </si>
  <si>
    <t>J4 (-)</t>
  </si>
  <si>
    <t>J4 (Rank)</t>
  </si>
  <si>
    <t>Avg</t>
  </si>
  <si>
    <t>Total</t>
  </si>
  <si>
    <t>FINAL SCORE</t>
  </si>
  <si>
    <t>Rank</t>
  </si>
  <si>
    <t>Start No.</t>
  </si>
  <si>
    <t>Category</t>
  </si>
  <si>
    <t>Age
Division</t>
  </si>
  <si>
    <t>Judge 4
Bernard Barač</t>
  </si>
  <si>
    <t>CADET</t>
  </si>
  <si>
    <t>MAŽORETNA IN TWIRLING SKUPINA OBČINE PESNICA</t>
  </si>
  <si>
    <t>Slovenia</t>
  </si>
  <si>
    <t>Group</t>
  </si>
  <si>
    <t>JUNIOR</t>
  </si>
  <si>
    <t>Croatia</t>
  </si>
  <si>
    <t>SENIOR</t>
  </si>
  <si>
    <t>CHILDREN</t>
  </si>
  <si>
    <t>TWIRLING KLUB ANINIH MAŽORETK</t>
  </si>
  <si>
    <t>TWIRLING IN MAŽORETNI KLUB LUCIJA</t>
  </si>
  <si>
    <t>TWIRLING-MAŽORETNI KLUB SVETA NEDELJA</t>
  </si>
  <si>
    <t>Duo</t>
  </si>
  <si>
    <t>Solo</t>
  </si>
  <si>
    <t>Klementina Pauman</t>
  </si>
  <si>
    <t>MAŽORETNI IN TWIRLING KLUB BENEDIKT</t>
  </si>
  <si>
    <t>Zoja Hadner</t>
  </si>
  <si>
    <t>Lena Žižek</t>
  </si>
  <si>
    <t>Maja Bešvir - Eva Tišler</t>
  </si>
  <si>
    <t>Low</t>
  </si>
  <si>
    <t>High</t>
  </si>
  <si>
    <t>Final Total</t>
  </si>
  <si>
    <t>J2 TOTAL</t>
  </si>
  <si>
    <t>J3 TOTAL</t>
  </si>
  <si>
    <t>J4 TOTAL</t>
  </si>
  <si>
    <t>J1 TOTAL</t>
  </si>
  <si>
    <t>Category Type</t>
  </si>
  <si>
    <t>Floor 1 Baton</t>
  </si>
  <si>
    <t>Intermediate</t>
  </si>
  <si>
    <t>Kristina Baloh Stojčovski</t>
  </si>
  <si>
    <t>MAŽORETNI IN TWIRLING KLUB KRANJ</t>
  </si>
  <si>
    <t>Vita Varga</t>
  </si>
  <si>
    <t>TWIRLING KLUB ČAKOVEC</t>
  </si>
  <si>
    <t>Klara Nagode</t>
  </si>
  <si>
    <t>TWIRLING KLUB LOGAŠKIH MAŽORET</t>
  </si>
  <si>
    <t>Klara Gorenszach</t>
  </si>
  <si>
    <t>TWIRLING-MAŽORETNO DRUŠTVO NOVA GORICA</t>
  </si>
  <si>
    <t>Nina Ladava</t>
  </si>
  <si>
    <t>Beginner</t>
  </si>
  <si>
    <t>Tia Katan</t>
  </si>
  <si>
    <t>Sara Žabar</t>
  </si>
  <si>
    <t>Mateja Kruljc</t>
  </si>
  <si>
    <t>Lorena Markovič</t>
  </si>
  <si>
    <t>Julija Vogrič</t>
  </si>
  <si>
    <t>Advanced</t>
  </si>
  <si>
    <t>Brina Gasser Nežič</t>
  </si>
  <si>
    <t>Michele Malovič</t>
  </si>
  <si>
    <t>Sara Janjilović</t>
  </si>
  <si>
    <t>Zala Plesničar</t>
  </si>
  <si>
    <t>Ela Nina Kralj</t>
  </si>
  <si>
    <t>Teja Cotič</t>
  </si>
  <si>
    <t>MAŽORETNA IN TWIRLING SKUPINA PRVAČINA</t>
  </si>
  <si>
    <t>Izabela Manfreda</t>
  </si>
  <si>
    <t>Meri Koglot</t>
  </si>
  <si>
    <t>Lia Nardin Bizjak</t>
  </si>
  <si>
    <t>Aneja Juretič</t>
  </si>
  <si>
    <t>Gaja Mivec</t>
  </si>
  <si>
    <t>MAŽORETNI TWIRLING IN PLESNI KLUB MACE</t>
  </si>
  <si>
    <t>Iza Berzelak</t>
  </si>
  <si>
    <t>Natali Vitez</t>
  </si>
  <si>
    <t>Neja Kuzma</t>
  </si>
  <si>
    <t>Taja Brajdot</t>
  </si>
  <si>
    <t>Sergeja Pauman</t>
  </si>
  <si>
    <t>Urša Horvat</t>
  </si>
  <si>
    <t xml:space="preserve">SENIOR </t>
  </si>
  <si>
    <t>Iris Juričev</t>
  </si>
  <si>
    <t>TWIRLING KLUB VODICE</t>
  </si>
  <si>
    <t>Katarina Kovačević</t>
  </si>
  <si>
    <t>Taja Govekar</t>
  </si>
  <si>
    <t>Professional</t>
  </si>
  <si>
    <t>Nuša Detiček</t>
  </si>
  <si>
    <t>Floor 2 Batons</t>
  </si>
  <si>
    <t>Lower Level</t>
  </si>
  <si>
    <t>Upper Level</t>
  </si>
  <si>
    <t>Eva Kociper</t>
  </si>
  <si>
    <t>Zara Jeler Remškar</t>
  </si>
  <si>
    <t>Tim Udovič</t>
  </si>
  <si>
    <t>Jerneja Bavec</t>
  </si>
  <si>
    <t>Tinkara Kranjec</t>
  </si>
  <si>
    <t>Solo Dance</t>
  </si>
  <si>
    <t>Laura Harej</t>
  </si>
  <si>
    <t>Ana Grbec</t>
  </si>
  <si>
    <t>Brina Kenda</t>
  </si>
  <si>
    <t>Ajda Perko</t>
  </si>
  <si>
    <t>TWIRLING, PLESNI IN MAŽORETNI KLUB LENART</t>
  </si>
  <si>
    <t>Gaja Čendak</t>
  </si>
  <si>
    <t>Nalia Žigon</t>
  </si>
  <si>
    <t>Maja Bešvir</t>
  </si>
  <si>
    <t>Katarina Čvrin</t>
  </si>
  <si>
    <t>Zoja Djurašinović</t>
  </si>
  <si>
    <t>Lara Bolšec</t>
  </si>
  <si>
    <t>Ana Omejc</t>
  </si>
  <si>
    <t>Lana Nardin Bizjak</t>
  </si>
  <si>
    <t>Taniša Gabrovec</t>
  </si>
  <si>
    <t>Julija Neuvirt</t>
  </si>
  <si>
    <t>Tinka Hladnik</t>
  </si>
  <si>
    <t>Ula Levac Stančič</t>
  </si>
  <si>
    <t>Iva Vugrinec</t>
  </si>
  <si>
    <t>TWIRLING KLUB GORIČAN</t>
  </si>
  <si>
    <t>Taja Krmec</t>
  </si>
  <si>
    <t>Jaka Emeršič</t>
  </si>
  <si>
    <t>Klara Polančec</t>
  </si>
  <si>
    <t>Lana Kukolaj</t>
  </si>
  <si>
    <t>Eva Steinbacher</t>
  </si>
  <si>
    <t>Maša Slabe</t>
  </si>
  <si>
    <t>Single Level</t>
  </si>
  <si>
    <t>Maja Ivezić</t>
  </si>
  <si>
    <t>Neža Neuvirt</t>
  </si>
  <si>
    <t>Mia Bajc</t>
  </si>
  <si>
    <t>Mia Martinjaž</t>
  </si>
  <si>
    <t>Zarja Perko</t>
  </si>
  <si>
    <t>Ula Stojanović Bizjak</t>
  </si>
  <si>
    <t>TWIRLING IN MAŽORETNI KLUB KOMENDA</t>
  </si>
  <si>
    <t>Rok Marinič</t>
  </si>
  <si>
    <t>Katja Tavčar</t>
  </si>
  <si>
    <t>Lenča Pečnik</t>
  </si>
  <si>
    <t>Nina Galamić</t>
  </si>
  <si>
    <t>Lana Memon</t>
  </si>
  <si>
    <t>Laura Tišljarić</t>
  </si>
  <si>
    <t>Žana Čaušević</t>
  </si>
  <si>
    <t>Emily Vuk</t>
  </si>
  <si>
    <t>Eliza Skenderović</t>
  </si>
  <si>
    <t>Inka Nemeš</t>
  </si>
  <si>
    <t>Elena Vragović</t>
  </si>
  <si>
    <t>TWIRLING KLUB KRAPINA</t>
  </si>
  <si>
    <t>Tjaša Poš</t>
  </si>
  <si>
    <t>Eneja Žerjal</t>
  </si>
  <si>
    <t>Rebeka Devetak</t>
  </si>
  <si>
    <t>Manca Zgonec</t>
  </si>
  <si>
    <t>Anja Radovac</t>
  </si>
  <si>
    <t>Marija Skočić</t>
  </si>
  <si>
    <t>Lucija Ljubičić</t>
  </si>
  <si>
    <t>Taja Pangerc</t>
  </si>
  <si>
    <t>Marjeta Kešnar</t>
  </si>
  <si>
    <t>Sara Gregurović</t>
  </si>
  <si>
    <t>Nika Bajec</t>
  </si>
  <si>
    <t>Matea Mužic</t>
  </si>
  <si>
    <t>UDRUGA LUDBREŠKE MAŽORETKINJE</t>
  </si>
  <si>
    <t>Žana Zgonec</t>
  </si>
  <si>
    <t>Laura Mihoković</t>
  </si>
  <si>
    <t>Klara Petrić</t>
  </si>
  <si>
    <t>Duet Dance</t>
  </si>
  <si>
    <t>Nika Mubi - Lara Mugerli</t>
  </si>
  <si>
    <t>Abram Chanel - Klara Gorenszach</t>
  </si>
  <si>
    <t>Tina Kobal - Gabriela Markežič Požar</t>
  </si>
  <si>
    <t>Iza Bizjak - Lea Ušaj</t>
  </si>
  <si>
    <t>Eva Steinbacher - Gaja Čendak</t>
  </si>
  <si>
    <t>Maša Slabe - Zoja Djurašinović</t>
  </si>
  <si>
    <t>Nika Miličević - Lena Ledinko</t>
  </si>
  <si>
    <t>Ana Grbec - Klara Nagode</t>
  </si>
  <si>
    <t>Eva Kociper - Tia Katan</t>
  </si>
  <si>
    <t>Gala Martina Malik - Neža Bavčar</t>
  </si>
  <si>
    <t>Lana Kukolaj - Simona Škulj</t>
  </si>
  <si>
    <t>Teira Rupena - Ula Levac Stančič</t>
  </si>
  <si>
    <t>Marija Španja - Petra Mrković</t>
  </si>
  <si>
    <t>Izabela Manfreda - Meri Koglot</t>
  </si>
  <si>
    <t>Iva Vugrinec - Laura Tišljarić</t>
  </si>
  <si>
    <t>Sarah Premrl - Teja Cotič</t>
  </si>
  <si>
    <t>Gaja Mivec - Nuša Nared</t>
  </si>
  <si>
    <t>Ana Uršič - Julia Modic</t>
  </si>
  <si>
    <t>Rebeka Devetak - Eneja Žerjal</t>
  </si>
  <si>
    <t>Lea Bendelja - Ena Čižmešija</t>
  </si>
  <si>
    <t>Ena Kovačić - Nika Kovačić</t>
  </si>
  <si>
    <t>Aneja Jekić - Anja Radovac</t>
  </si>
  <si>
    <t>Marija Skočić - Iris Juričev</t>
  </si>
  <si>
    <t>Eva Kovšca - Frida Nared</t>
  </si>
  <si>
    <t>Laura Mihoković - Lucija Ljubičić</t>
  </si>
  <si>
    <t>Nika Zrinščak - Nives Kranjčec</t>
  </si>
  <si>
    <t>Nuša Detiček - Tim Udovič</t>
  </si>
  <si>
    <t>Twirling Team</t>
  </si>
  <si>
    <t>Twirling Group</t>
  </si>
  <si>
    <t>Judge 3
Barbara Novina</t>
  </si>
  <si>
    <t>Lara Livakovič Kočevar</t>
  </si>
  <si>
    <t>Junior</t>
  </si>
  <si>
    <t>Aneja Jekić</t>
  </si>
  <si>
    <t>Simona Škulj</t>
  </si>
  <si>
    <t>Neža Markočič</t>
  </si>
  <si>
    <t>Teira Rupena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</si>
</sst>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0000"/>
      <name val="Georgia"/>
      <family val="1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1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vertical="top"/>
      <protection hidden="1"/>
    </xf>
    <xf numFmtId="0" fontId="4" fillId="5" borderId="0" xfId="0" applyFont="1" applyFill="1" applyAlignment="1" applyProtection="1">
      <alignment horizontal="center" vertical="top" wrapText="1"/>
      <protection hidden="1"/>
    </xf>
    <xf numFmtId="0" fontId="4" fillId="8" borderId="0" xfId="0" applyFont="1" applyFill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2" fontId="5" fillId="2" borderId="0" xfId="0" applyNumberFormat="1" applyFont="1" applyFill="1" applyAlignment="1" applyProtection="1">
      <alignment horizontal="center"/>
      <protection hidden="1"/>
    </xf>
    <xf numFmtId="2" fontId="5" fillId="3" borderId="0" xfId="0" applyNumberFormat="1" applyFont="1" applyFill="1" applyAlignment="1" applyProtection="1">
      <alignment horizontal="center"/>
      <protection hidden="1"/>
    </xf>
    <xf numFmtId="2" fontId="5" fillId="6" borderId="0" xfId="0" applyNumberFormat="1" applyFont="1" applyFill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quotePrefix="1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5" fillId="4" borderId="0" xfId="0" applyFont="1" applyFill="1" applyProtection="1">
      <protection hidden="1"/>
    </xf>
    <xf numFmtId="2" fontId="5" fillId="4" borderId="0" xfId="0" applyNumberFormat="1" applyFont="1" applyFill="1" applyAlignment="1" applyProtection="1">
      <alignment horizontal="center"/>
      <protection hidden="1"/>
    </xf>
    <xf numFmtId="1" fontId="5" fillId="4" borderId="0" xfId="0" applyNumberFormat="1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 wrapText="1"/>
      <protection hidden="1"/>
    </xf>
    <xf numFmtId="0" fontId="6" fillId="0" borderId="0" xfId="2" applyFont="1" applyAlignment="1" applyProtection="1">
      <alignment horizontal="center" vertical="top" wrapText="1"/>
      <protection hidden="1"/>
    </xf>
    <xf numFmtId="0" fontId="6" fillId="0" borderId="0" xfId="3" applyFont="1" applyAlignment="1" applyProtection="1">
      <alignment horizontal="left" vertical="top" wrapText="1"/>
      <protection hidden="1"/>
    </xf>
    <xf numFmtId="0" fontId="6" fillId="0" borderId="0" xfId="2" applyFont="1" applyAlignment="1" applyProtection="1">
      <alignment horizontal="left" vertical="top" wrapText="1"/>
      <protection hidden="1"/>
    </xf>
    <xf numFmtId="0" fontId="6" fillId="0" borderId="0" xfId="2" applyFont="1" applyAlignment="1" applyProtection="1">
      <alignment vertical="top"/>
      <protection hidden="1"/>
    </xf>
    <xf numFmtId="0" fontId="4" fillId="5" borderId="0" xfId="2" applyFont="1" applyFill="1" applyAlignment="1" applyProtection="1">
      <alignment horizontal="center" vertical="top" wrapText="1"/>
      <protection hidden="1"/>
    </xf>
    <xf numFmtId="0" fontId="4" fillId="8" borderId="0" xfId="2" applyFont="1" applyFill="1" applyAlignment="1" applyProtection="1">
      <alignment horizontal="center" vertical="top" wrapText="1"/>
      <protection hidden="1"/>
    </xf>
    <xf numFmtId="0" fontId="4" fillId="0" borderId="0" xfId="2" applyFont="1" applyAlignment="1" applyProtection="1">
      <alignment horizontal="center" vertical="top"/>
      <protection hidden="1"/>
    </xf>
    <xf numFmtId="0" fontId="4" fillId="0" borderId="0" xfId="2" applyFont="1" applyAlignment="1" applyProtection="1">
      <alignment horizontal="center" vertical="top" wrapText="1"/>
      <protection hidden="1"/>
    </xf>
    <xf numFmtId="0" fontId="6" fillId="0" borderId="0" xfId="2" applyFont="1" applyAlignment="1" applyProtection="1">
      <alignment horizontal="center" vertical="top"/>
      <protection hidden="1"/>
    </xf>
    <xf numFmtId="0" fontId="1" fillId="0" borderId="0" xfId="2" applyProtection="1"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left"/>
      <protection hidden="1"/>
    </xf>
    <xf numFmtId="2" fontId="5" fillId="2" borderId="0" xfId="2" applyNumberFormat="1" applyFont="1" applyFill="1" applyAlignment="1" applyProtection="1">
      <alignment horizontal="center"/>
      <protection hidden="1"/>
    </xf>
    <xf numFmtId="2" fontId="5" fillId="3" borderId="0" xfId="2" applyNumberFormat="1" applyFont="1" applyFill="1" applyAlignment="1" applyProtection="1">
      <alignment horizontal="center"/>
      <protection hidden="1"/>
    </xf>
    <xf numFmtId="2" fontId="5" fillId="6" borderId="0" xfId="2" applyNumberFormat="1" applyFont="1" applyFill="1" applyAlignment="1" applyProtection="1">
      <alignment horizontal="center"/>
      <protection hidden="1"/>
    </xf>
    <xf numFmtId="1" fontId="5" fillId="7" borderId="0" xfId="2" applyNumberFormat="1" applyFont="1" applyFill="1" applyAlignment="1" applyProtection="1">
      <alignment horizontal="center"/>
      <protection hidden="1"/>
    </xf>
    <xf numFmtId="2" fontId="5" fillId="0" borderId="0" xfId="2" applyNumberFormat="1" applyFont="1" applyAlignment="1" applyProtection="1">
      <alignment horizontal="center"/>
      <protection hidden="1"/>
    </xf>
    <xf numFmtId="2" fontId="3" fillId="0" borderId="0" xfId="2" applyNumberFormat="1" applyFont="1" applyAlignment="1" applyProtection="1">
      <alignment horizontal="center"/>
      <protection hidden="1"/>
    </xf>
    <xf numFmtId="0" fontId="7" fillId="0" borderId="0" xfId="2" applyFont="1" applyAlignment="1" applyProtection="1">
      <alignment horizontal="center" wrapText="1"/>
      <protection hidden="1"/>
    </xf>
    <xf numFmtId="0" fontId="5" fillId="0" borderId="0" xfId="2" applyFont="1" applyProtection="1">
      <protection hidden="1"/>
    </xf>
    <xf numFmtId="0" fontId="5" fillId="4" borderId="0" xfId="2" applyFont="1" applyFill="1" applyAlignment="1" applyProtection="1">
      <alignment horizontal="center" vertical="center"/>
      <protection hidden="1"/>
    </xf>
    <xf numFmtId="0" fontId="5" fillId="4" borderId="0" xfId="2" applyFont="1" applyFill="1" applyAlignment="1" applyProtection="1">
      <alignment horizontal="left"/>
      <protection hidden="1"/>
    </xf>
    <xf numFmtId="2" fontId="5" fillId="4" borderId="0" xfId="2" applyNumberFormat="1" applyFont="1" applyFill="1" applyAlignment="1" applyProtection="1">
      <alignment horizontal="center"/>
      <protection hidden="1"/>
    </xf>
    <xf numFmtId="1" fontId="5" fillId="4" borderId="0" xfId="2" applyNumberFormat="1" applyFont="1" applyFill="1" applyAlignment="1" applyProtection="1">
      <alignment horizontal="center"/>
      <protection hidden="1"/>
    </xf>
    <xf numFmtId="2" fontId="3" fillId="4" borderId="0" xfId="2" applyNumberFormat="1" applyFont="1" applyFill="1" applyAlignment="1" applyProtection="1">
      <alignment horizontal="center"/>
      <protection hidden="1"/>
    </xf>
    <xf numFmtId="0" fontId="7" fillId="4" borderId="0" xfId="2" applyFont="1" applyFill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/>
      <protection hidden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1326"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fill>
        <patternFill patternType="solid">
          <fgColor indexed="64"/>
          <bgColor rgb="FFFF9999"/>
        </patternFill>
      </fill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solid">
          <fgColor indexed="64"/>
          <bgColor rgb="FFFF9999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solid">
          <fgColor indexed="64"/>
          <bgColor rgb="FFFF9999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solid">
          <fgColor indexed="64"/>
          <bgColor rgb="FFFF9999"/>
        </patternFill>
      </fill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rgb="FFFF9999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solid">
          <fgColor indexed="64"/>
          <bgColor rgb="FFFF9999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FF9999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solid">
          <fgColor indexed="64"/>
          <bgColor rgb="FFFF9999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fill>
        <patternFill patternType="solid">
          <fgColor indexed="64"/>
          <bgColor rgb="FFFF9999"/>
        </patternFill>
      </fill>
      <alignment horizontal="center" vertical="center" textRotation="0" wrapText="0" indent="0" justifyLastLine="0" shrinkToFit="0" readingOrder="0"/>
      <protection locked="1" hidden="1"/>
    </dxf>
    <dxf>
      <fill>
        <patternFill patternType="solid">
          <fgColor indexed="64"/>
          <bgColor rgb="FFFF9999"/>
        </patternFill>
      </fill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orgia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rgb="FF33CCCC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protection locked="1" hidden="1"/>
    </dxf>
    <dxf>
      <alignment vertical="top" textRotation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FF9999"/>
      <color rgb="FFCCCCFF"/>
      <color rgb="FF33CCCC"/>
      <color rgb="FFBF9FFF"/>
      <color rgb="FFE49AF8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wirling_Solo_Program289101112131415161718" displayName="Twirling_Solo_Program289101112131415161718" ref="A1:AF6" totalsRowShown="0" headerRowDxfId="1325" dataDxfId="1324">
  <autoFilter ref="A1:AF6" xr:uid="{00000000-0009-0000-0100-000011000000}"/>
  <sortState xmlns:xlrd2="http://schemas.microsoft.com/office/spreadsheetml/2017/richdata2" ref="A2:AF6">
    <sortCondition ref="AE2:AE6"/>
  </sortState>
  <tableColumns count="32">
    <tableColumn id="1" xr3:uid="{00000000-0010-0000-0100-000001000000}" name="Start No." dataDxfId="1323"/>
    <tableColumn id="8" xr3:uid="{00000000-0010-0000-0100-000008000000}" name="Lane" dataDxfId="1322"/>
    <tableColumn id="9" xr3:uid="{00000000-0010-0000-0100-000009000000}" name="Category" dataDxfId="1321"/>
    <tableColumn id="32" xr3:uid="{00000000-0010-0000-0100-000020000000}" name="Age_x000a_Division" dataDxfId="1320"/>
    <tableColumn id="40" xr3:uid="{00000000-0010-0000-0100-000028000000}" name="Level" dataDxfId="1319"/>
    <tableColumn id="4" xr3:uid="{00000000-0010-0000-0100-000004000000}" name="Athlete" dataDxfId="1318"/>
    <tableColumn id="38" xr3:uid="{00000000-0010-0000-0100-000026000000}" name="Club" dataDxfId="1317"/>
    <tableColumn id="37" xr3:uid="{00000000-0010-0000-0100-000025000000}" name="Country" dataDxfId="1316"/>
    <tableColumn id="15" xr3:uid="{00000000-0010-0000-0100-00000F000000}" name="Judge 1_x000a_Tamara Beljak" dataDxfId="1315"/>
    <tableColumn id="33" xr3:uid="{00000000-0010-0000-0100-000021000000}" name="J1 (-)" dataDxfId="1314"/>
    <tableColumn id="26" xr3:uid="{00000000-0010-0000-0100-00001A000000}" name="J1 TOTAL" dataDxfId="1313">
      <calculatedColumnFormula>Twirling_Solo_Program289101112131415161718[[#This Row],[Judge 1
Tamara Beljak]]-J2</calculatedColumnFormula>
    </tableColumn>
    <tableColumn id="3" xr3:uid="{00000000-0010-0000-0100-000003000000}" name="J1 (Rank)" dataDxfId="1312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calculatedColumnFormula>
    </tableColumn>
    <tableColumn id="16" xr3:uid="{00000000-0010-0000-0100-000010000000}" name="Judge 2_x000a_Tihomir Bendelja" dataDxfId="1311"/>
    <tableColumn id="34" xr3:uid="{00000000-0010-0000-0100-000022000000}" name="J2 (-)" dataDxfId="1310"/>
    <tableColumn id="28" xr3:uid="{00000000-0010-0000-0100-00001C000000}" name="J2 TOTAL" dataDxfId="1309">
      <calculatedColumnFormula>Twirling_Solo_Program289101112131415161718[[#This Row],[Judge 2
Tihomir Bendelja]]-Twirling_Solo_Program289101112131415161718[[#This Row],[J2 (-)]]</calculatedColumnFormula>
    </tableColumn>
    <tableColumn id="5" xr3:uid="{00000000-0010-0000-0100-000005000000}" name="J2 (Rank)" dataDxfId="1308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calculatedColumnFormula>
    </tableColumn>
    <tableColumn id="17" xr3:uid="{00000000-0010-0000-0100-000011000000}" name="Judge 3_x000a_Barbara Novina" dataDxfId="1307"/>
    <tableColumn id="35" xr3:uid="{00000000-0010-0000-0100-000023000000}" name="J3 (-)" dataDxfId="1306"/>
    <tableColumn id="30" xr3:uid="{00000000-0010-0000-0100-00001E000000}" name="J3 TOTAL" dataDxfId="1305">
      <calculatedColumnFormula>Twirling_Solo_Program289101112131415161718[[#This Row],[Judge 3
Barbara Novina]]-R2</calculatedColumnFormula>
    </tableColumn>
    <tableColumn id="6" xr3:uid="{00000000-0010-0000-0100-000006000000}" name="J3 (Rank)" dataDxfId="1304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calculatedColumnFormula>
    </tableColumn>
    <tableColumn id="18" xr3:uid="{00000000-0010-0000-0100-000012000000}" name="Judge 4_x000a_Bernard Barač" dataDxfId="1303"/>
    <tableColumn id="36" xr3:uid="{00000000-0010-0000-0100-000024000000}" name="J4 (-)" dataDxfId="1302"/>
    <tableColumn id="31" xr3:uid="{00000000-0010-0000-0100-00001F000000}" name="J4 TOTAL" dataDxfId="1301">
      <calculatedColumnFormula>Twirling_Solo_Program289101112131415161718[[#This Row],[Judge 4
Bernard Barač]]-V2</calculatedColumnFormula>
    </tableColumn>
    <tableColumn id="7" xr3:uid="{00000000-0010-0000-0100-000007000000}" name="J4 (Rank)" dataDxfId="1300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calculatedColumnFormula>
    </tableColumn>
    <tableColumn id="20" xr3:uid="{00000000-0010-0000-0100-000014000000}" name="Total" dataDxfId="1299">
      <calculatedColumnFormula>SUM(Twirling_Solo_Program289101112131415161718[[#This Row],[J1 TOTAL]]+Twirling_Solo_Program289101112131415161718[[#This Row],[J2 TOTAL]]+Twirling_Solo_Program289101112131415161718[[#This Row],[J3 TOTAL]]+Twirling_Solo_Program289101112131415161718[[#This Row],[J4 TOTAL]])</calculatedColumnFormula>
    </tableColumn>
    <tableColumn id="23" xr3:uid="{00000000-0010-0000-0100-000017000000}" name="Low" dataDxfId="1298"/>
    <tableColumn id="19" xr3:uid="{00000000-0010-0000-0100-000013000000}" name="High" dataDxfId="1297"/>
    <tableColumn id="25" xr3:uid="{00000000-0010-0000-0100-000019000000}" name="Final Total" dataDxfId="1296">
      <calculatedColumnFormula>SUM(Twirling_Solo_Program289101112131415161718[[#This Row],[Total]]-Twirling_Solo_Program289101112131415161718[[#This Row],[Low]]-Twirling_Solo_Program289101112131415161718[[#This Row],[High]])</calculatedColumnFormula>
    </tableColumn>
    <tableColumn id="24" xr3:uid="{00000000-0010-0000-0100-000018000000}" name="Avg" dataDxfId="1295">
      <calculatedColumnFormula>AVERAGE(I2,M2,Q2,U2)</calculatedColumnFormula>
    </tableColumn>
    <tableColumn id="22" xr3:uid="{00000000-0010-0000-0100-000016000000}" name="FINAL SCORE" dataDxfId="1294">
      <calculatedColumnFormula>Twirling_Solo_Program289101112131415161718[[#This Row],[Final Total]]</calculatedColumnFormula>
    </tableColumn>
    <tableColumn id="27" xr3:uid="{00000000-0010-0000-0100-00001B000000}" name="Rank" dataDxfId="1293">
      <calculatedColumnFormula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calculatedColumnFormula>
    </tableColumn>
    <tableColumn id="39" xr3:uid="{00000000-0010-0000-0100-000027000000}" name="Category Type" dataDxfId="129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9000000}" name="Twirling_Solo_Program28910111213141516171852535455565758" displayName="Twirling_Solo_Program28910111213141516171852535455565758" ref="A1:AF2" totalsRowShown="0" headerRowDxfId="1019" dataDxfId="1018">
  <autoFilter ref="A1:AF2" xr:uid="{00000000-0009-0000-0100-000039000000}"/>
  <tableColumns count="32">
    <tableColumn id="1" xr3:uid="{00000000-0010-0000-0900-000001000000}" name="Start No." dataDxfId="1017"/>
    <tableColumn id="8" xr3:uid="{00000000-0010-0000-0900-000008000000}" name="Lane" dataDxfId="1016"/>
    <tableColumn id="9" xr3:uid="{00000000-0010-0000-0900-000009000000}" name="Category" dataDxfId="1015"/>
    <tableColumn id="32" xr3:uid="{00000000-0010-0000-0900-000020000000}" name="Age_x000a_Division" dataDxfId="1014"/>
    <tableColumn id="40" xr3:uid="{00000000-0010-0000-0900-000028000000}" name="Level" dataDxfId="1013"/>
    <tableColumn id="4" xr3:uid="{00000000-0010-0000-0900-000004000000}" name="Athlete" dataDxfId="1012"/>
    <tableColumn id="38" xr3:uid="{00000000-0010-0000-0900-000026000000}" name="Club" dataDxfId="1011"/>
    <tableColumn id="37" xr3:uid="{00000000-0010-0000-0900-000025000000}" name="Country" dataDxfId="1010"/>
    <tableColumn id="15" xr3:uid="{00000000-0010-0000-0900-00000F000000}" name="Judge 1_x000a_Tamara Beljak" dataDxfId="1009"/>
    <tableColumn id="33" xr3:uid="{00000000-0010-0000-0900-000021000000}" name="J1 (-)" dataDxfId="1008"/>
    <tableColumn id="26" xr3:uid="{00000000-0010-0000-0900-00001A000000}" name="J1 TOTAL" dataDxfId="1007">
      <calculatedColumnFormula>Twirling_Solo_Program28910111213141516171852535455565758[[#This Row],[Judge 1
Tamara Beljak]]-J2</calculatedColumnFormula>
    </tableColumn>
    <tableColumn id="3" xr3:uid="{00000000-0010-0000-0900-000003000000}" name="J1 (Rank)" dataDxfId="1006">
      <calculatedColumnFormula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Row],[Category]],Twirling_Solo_Program28910111213141516171852535455565758[J1 TOTAL],"&gt;"&amp;Twirling_Solo_Program28910111213141516171852535455565758[[#This Row],[J1 TOTAL]])+1</calculatedColumnFormula>
    </tableColumn>
    <tableColumn id="16" xr3:uid="{00000000-0010-0000-0900-000010000000}" name="Judge 2_x000a_Tihomir Bendelja" dataDxfId="1005"/>
    <tableColumn id="34" xr3:uid="{00000000-0010-0000-0900-000022000000}" name="J2 (-)" dataDxfId="1004"/>
    <tableColumn id="28" xr3:uid="{00000000-0010-0000-0900-00001C000000}" name="J2 TOTAL" dataDxfId="1003">
      <calculatedColumnFormula>Twirling_Solo_Program28910111213141516171852535455565758[[#This Row],[Judge 2
Tihomir Bendelja]]-Twirling_Solo_Program28910111213141516171852535455565758[[#This Row],[J2 (-)]]</calculatedColumnFormula>
    </tableColumn>
    <tableColumn id="5" xr3:uid="{00000000-0010-0000-0900-000005000000}" name="J2 (Rank)" dataDxfId="1002">
      <calculatedColumnFormula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Row],[Category]],Twirling_Solo_Program28910111213141516171852535455565758[J2 TOTAL],"&gt;"&amp;Twirling_Solo_Program28910111213141516171852535455565758[[#This Row],[J2 TOTAL]])+1</calculatedColumnFormula>
    </tableColumn>
    <tableColumn id="17" xr3:uid="{00000000-0010-0000-0900-000011000000}" name="Judge 3_x000a_Barbara Novina" dataDxfId="1001"/>
    <tableColumn id="35" xr3:uid="{00000000-0010-0000-0900-000023000000}" name="J3 (-)" dataDxfId="1000"/>
    <tableColumn id="30" xr3:uid="{00000000-0010-0000-0900-00001E000000}" name="J3 TOTAL" dataDxfId="999">
      <calculatedColumnFormula>Twirling_Solo_Program28910111213141516171852535455565758[[#This Row],[Judge 3
Barbara Novina]]-R2</calculatedColumnFormula>
    </tableColumn>
    <tableColumn id="6" xr3:uid="{00000000-0010-0000-0900-000006000000}" name="J3 (Rank)" dataDxfId="998">
      <calculatedColumnFormula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Row],[Category]],Twirling_Solo_Program28910111213141516171852535455565758[J3 TOTAL],"&gt;"&amp;Twirling_Solo_Program28910111213141516171852535455565758[[#This Row],[J3 TOTAL]])+1</calculatedColumnFormula>
    </tableColumn>
    <tableColumn id="18" xr3:uid="{00000000-0010-0000-0900-000012000000}" name="Judge 4_x000a_Bernard Barač" dataDxfId="997"/>
    <tableColumn id="36" xr3:uid="{00000000-0010-0000-0900-000024000000}" name="J4 (-)" dataDxfId="996"/>
    <tableColumn id="31" xr3:uid="{00000000-0010-0000-0900-00001F000000}" name="J4 TOTAL" dataDxfId="995">
      <calculatedColumnFormula>Twirling_Solo_Program28910111213141516171852535455565758[[#This Row],[Judge 4
Bernard Barač]]-V2</calculatedColumnFormula>
    </tableColumn>
    <tableColumn id="7" xr3:uid="{00000000-0010-0000-0900-000007000000}" name="J4 (Rank)" dataDxfId="994">
      <calculatedColumnFormula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Row],[Category]],Twirling_Solo_Program28910111213141516171852535455565758[J4 TOTAL],"&gt;"&amp;Twirling_Solo_Program28910111213141516171852535455565758[[#This Row],[J4 TOTAL]])+1</calculatedColumnFormula>
    </tableColumn>
    <tableColumn id="20" xr3:uid="{00000000-0010-0000-0900-000014000000}" name="Total" dataDxfId="993">
      <calculatedColumnFormula>SUM(Twirling_Solo_Program28910111213141516171852535455565758[[#This Row],[J1 TOTAL]]+Twirling_Solo_Program28910111213141516171852535455565758[[#This Row],[J2 TOTAL]]+Twirling_Solo_Program28910111213141516171852535455565758[[#This Row],[J3 TOTAL]]+Twirling_Solo_Program28910111213141516171852535455565758[[#This Row],[J4 TOTAL]])</calculatedColumnFormula>
    </tableColumn>
    <tableColumn id="23" xr3:uid="{00000000-0010-0000-0900-000017000000}" name="Low" dataDxfId="992"/>
    <tableColumn id="19" xr3:uid="{00000000-0010-0000-0900-000013000000}" name="High" dataDxfId="991"/>
    <tableColumn id="25" xr3:uid="{00000000-0010-0000-0900-000019000000}" name="Final Total" dataDxfId="990">
      <calculatedColumnFormula>SUM(Twirling_Solo_Program28910111213141516171852535455565758[[#This Row],[Total]]-Twirling_Solo_Program28910111213141516171852535455565758[[#This Row],[Low]]-Twirling_Solo_Program28910111213141516171852535455565758[[#This Row],[High]])</calculatedColumnFormula>
    </tableColumn>
    <tableColumn id="24" xr3:uid="{00000000-0010-0000-0900-000018000000}" name="Avg" dataDxfId="989">
      <calculatedColumnFormula>AVERAGE(I2,M2,Q2,U2)</calculatedColumnFormula>
    </tableColumn>
    <tableColumn id="22" xr3:uid="{00000000-0010-0000-0900-000016000000}" name="FINAL SCORE" dataDxfId="988">
      <calculatedColumnFormula>Twirling_Solo_Program28910111213141516171852535455565758[[#This Row],[Final Total]]</calculatedColumnFormula>
    </tableColumn>
    <tableColumn id="27" xr3:uid="{00000000-0010-0000-0900-00001B000000}" name="Rank" dataDxfId="987">
      <calculatedColumnFormula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Row],[Category]],Twirling_Solo_Program28910111213141516171852535455565758[FINAL SCORE],"&gt;"&amp;Twirling_Solo_Program28910111213141516171852535455565758[[#This Row],[FINAL SCORE]])+1</calculatedColumnFormula>
    </tableColumn>
    <tableColumn id="39" xr3:uid="{00000000-0010-0000-0900-000027000000}" name="Category Type" dataDxfId="98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0A000000}" name="Twirling_Solo_Program2891011121314151617185253545556575860" displayName="Twirling_Solo_Program2891011121314151617185253545556575860" ref="A1:AF5" totalsRowShown="0" headerRowDxfId="985" dataDxfId="984">
  <autoFilter ref="A1:AF5" xr:uid="{00000000-0009-0000-0100-00003B000000}"/>
  <sortState xmlns:xlrd2="http://schemas.microsoft.com/office/spreadsheetml/2017/richdata2" ref="A2:AF5">
    <sortCondition ref="AE2:AE5"/>
  </sortState>
  <tableColumns count="32">
    <tableColumn id="1" xr3:uid="{00000000-0010-0000-0A00-000001000000}" name="Start No." dataDxfId="983"/>
    <tableColumn id="8" xr3:uid="{00000000-0010-0000-0A00-000008000000}" name="Lane" dataDxfId="982"/>
    <tableColumn id="9" xr3:uid="{00000000-0010-0000-0A00-000009000000}" name="Category" dataDxfId="981"/>
    <tableColumn id="32" xr3:uid="{00000000-0010-0000-0A00-000020000000}" name="Age_x000a_Division" dataDxfId="980"/>
    <tableColumn id="40" xr3:uid="{00000000-0010-0000-0A00-000028000000}" name="Level" dataDxfId="979"/>
    <tableColumn id="4" xr3:uid="{00000000-0010-0000-0A00-000004000000}" name="Athlete" dataDxfId="978"/>
    <tableColumn id="38" xr3:uid="{00000000-0010-0000-0A00-000026000000}" name="Club" dataDxfId="977"/>
    <tableColumn id="37" xr3:uid="{00000000-0010-0000-0A00-000025000000}" name="Country" dataDxfId="976"/>
    <tableColumn id="15" xr3:uid="{00000000-0010-0000-0A00-00000F000000}" name="Judge 1_x000a_Tamara Beljak" dataDxfId="975"/>
    <tableColumn id="33" xr3:uid="{00000000-0010-0000-0A00-000021000000}" name="J1 (-)" dataDxfId="974"/>
    <tableColumn id="26" xr3:uid="{00000000-0010-0000-0A00-00001A000000}" name="J1 TOTAL" dataDxfId="973">
      <calculatedColumnFormula>Twirling_Solo_Program2891011121314151617185253545556575860[[#This Row],[Judge 1
Tamara Beljak]]-J2</calculatedColumnFormula>
    </tableColumn>
    <tableColumn id="3" xr3:uid="{00000000-0010-0000-0A00-000003000000}" name="J1 (Rank)" dataDxfId="972">
      <calculatedColumnFormula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Row],[Category]],Twirling_Solo_Program2891011121314151617185253545556575860[J1 TOTAL],"&gt;"&amp;Twirling_Solo_Program2891011121314151617185253545556575860[[#This Row],[J1 TOTAL]])+1</calculatedColumnFormula>
    </tableColumn>
    <tableColumn id="16" xr3:uid="{00000000-0010-0000-0A00-000010000000}" name="Judge 2_x000a_Tihomir Bendelja" dataDxfId="971"/>
    <tableColumn id="34" xr3:uid="{00000000-0010-0000-0A00-000022000000}" name="J2 (-)" dataDxfId="970"/>
    <tableColumn id="28" xr3:uid="{00000000-0010-0000-0A00-00001C000000}" name="J2 TOTAL" dataDxfId="969">
      <calculatedColumnFormula>Twirling_Solo_Program2891011121314151617185253545556575860[[#This Row],[Judge 2
Tihomir Bendelja]]-Twirling_Solo_Program2891011121314151617185253545556575860[[#This Row],[J2 (-)]]</calculatedColumnFormula>
    </tableColumn>
    <tableColumn id="5" xr3:uid="{00000000-0010-0000-0A00-000005000000}" name="J2 (Rank)" dataDxfId="968">
      <calculatedColumnFormula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Row],[Category]],Twirling_Solo_Program2891011121314151617185253545556575860[J2 TOTAL],"&gt;"&amp;Twirling_Solo_Program2891011121314151617185253545556575860[[#This Row],[J2 TOTAL]])+1</calculatedColumnFormula>
    </tableColumn>
    <tableColumn id="17" xr3:uid="{00000000-0010-0000-0A00-000011000000}" name="Judge 3_x000a_Barbara Novina" dataDxfId="967"/>
    <tableColumn id="35" xr3:uid="{00000000-0010-0000-0A00-000023000000}" name="J3 (-)" dataDxfId="966"/>
    <tableColumn id="30" xr3:uid="{00000000-0010-0000-0A00-00001E000000}" name="J3 TOTAL" dataDxfId="965">
      <calculatedColumnFormula>Twirling_Solo_Program2891011121314151617185253545556575860[[#This Row],[Judge 3
Barbara Novina]]-R2</calculatedColumnFormula>
    </tableColumn>
    <tableColumn id="6" xr3:uid="{00000000-0010-0000-0A00-000006000000}" name="J3 (Rank)" dataDxfId="964">
      <calculatedColumnFormula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Row],[Category]],Twirling_Solo_Program2891011121314151617185253545556575860[J3 TOTAL],"&gt;"&amp;Twirling_Solo_Program2891011121314151617185253545556575860[[#This Row],[J3 TOTAL]])+1</calculatedColumnFormula>
    </tableColumn>
    <tableColumn id="18" xr3:uid="{00000000-0010-0000-0A00-000012000000}" name="Judge 4_x000a_Bernard Barač" dataDxfId="963"/>
    <tableColumn id="36" xr3:uid="{00000000-0010-0000-0A00-000024000000}" name="J4 (-)" dataDxfId="962"/>
    <tableColumn id="31" xr3:uid="{00000000-0010-0000-0A00-00001F000000}" name="J4 TOTAL" dataDxfId="961">
      <calculatedColumnFormula>Twirling_Solo_Program2891011121314151617185253545556575860[[#This Row],[Judge 4
Bernard Barač]]-V2</calculatedColumnFormula>
    </tableColumn>
    <tableColumn id="7" xr3:uid="{00000000-0010-0000-0A00-000007000000}" name="J4 (Rank)" dataDxfId="960">
      <calculatedColumnFormula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Row],[Category]],Twirling_Solo_Program2891011121314151617185253545556575860[J4 TOTAL],"&gt;"&amp;Twirling_Solo_Program2891011121314151617185253545556575860[[#This Row],[J4 TOTAL]])+1</calculatedColumnFormula>
    </tableColumn>
    <tableColumn id="20" xr3:uid="{00000000-0010-0000-0A00-000014000000}" name="Total" dataDxfId="959">
      <calculatedColumnFormula>SUM(Twirling_Solo_Program2891011121314151617185253545556575860[[#This Row],[J1 TOTAL]]+Twirling_Solo_Program2891011121314151617185253545556575860[[#This Row],[J2 TOTAL]]+Twirling_Solo_Program2891011121314151617185253545556575860[[#This Row],[J3 TOTAL]]+Twirling_Solo_Program2891011121314151617185253545556575860[[#This Row],[J4 TOTAL]])</calculatedColumnFormula>
    </tableColumn>
    <tableColumn id="23" xr3:uid="{00000000-0010-0000-0A00-000017000000}" name="Low" dataDxfId="958"/>
    <tableColumn id="19" xr3:uid="{00000000-0010-0000-0A00-000013000000}" name="High" dataDxfId="957"/>
    <tableColumn id="25" xr3:uid="{00000000-0010-0000-0A00-000019000000}" name="Final Total" dataDxfId="956">
      <calculatedColumnFormula>SUM(Twirling_Solo_Program2891011121314151617185253545556575860[[#This Row],[Total]]-Twirling_Solo_Program2891011121314151617185253545556575860[[#This Row],[Low]]-Twirling_Solo_Program2891011121314151617185253545556575860[[#This Row],[High]])</calculatedColumnFormula>
    </tableColumn>
    <tableColumn id="24" xr3:uid="{00000000-0010-0000-0A00-000018000000}" name="Avg" dataDxfId="955">
      <calculatedColumnFormula>AVERAGE(I2,M2,Q2,U2)</calculatedColumnFormula>
    </tableColumn>
    <tableColumn id="22" xr3:uid="{00000000-0010-0000-0A00-000016000000}" name="FINAL SCORE" dataDxfId="954">
      <calculatedColumnFormula>Twirling_Solo_Program2891011121314151617185253545556575860[[#This Row],[Final Total]]</calculatedColumnFormula>
    </tableColumn>
    <tableColumn id="27" xr3:uid="{00000000-0010-0000-0A00-00001B000000}" name="Rank" dataDxfId="953">
      <calculatedColumnFormula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Row],[Category]],Twirling_Solo_Program2891011121314151617185253545556575860[FINAL SCORE],"&gt;"&amp;Twirling_Solo_Program2891011121314151617185253545556575860[[#This Row],[FINAL SCORE]])+1</calculatedColumnFormula>
    </tableColumn>
    <tableColumn id="39" xr3:uid="{00000000-0010-0000-0A00-000027000000}" name="Category Type" dataDxfId="95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0C000000}" name="Twirling_Solo_Program289101112131415161718525354555657586061" displayName="Twirling_Solo_Program289101112131415161718525354555657586061" ref="A1:AF4" totalsRowShown="0" headerRowDxfId="951" dataDxfId="950">
  <autoFilter ref="A1:AF4" xr:uid="{00000000-0009-0000-0100-00003C000000}"/>
  <sortState xmlns:xlrd2="http://schemas.microsoft.com/office/spreadsheetml/2017/richdata2" ref="A2:AF4">
    <sortCondition ref="AE2:AE4"/>
  </sortState>
  <tableColumns count="32">
    <tableColumn id="1" xr3:uid="{00000000-0010-0000-0C00-000001000000}" name="Start No." dataDxfId="949"/>
    <tableColumn id="8" xr3:uid="{00000000-0010-0000-0C00-000008000000}" name="Lane" dataDxfId="948"/>
    <tableColumn id="9" xr3:uid="{00000000-0010-0000-0C00-000009000000}" name="Category" dataDxfId="947"/>
    <tableColumn id="32" xr3:uid="{00000000-0010-0000-0C00-000020000000}" name="Age_x000a_Division" dataDxfId="946"/>
    <tableColumn id="40" xr3:uid="{00000000-0010-0000-0C00-000028000000}" name="Level" dataDxfId="945"/>
    <tableColumn id="4" xr3:uid="{00000000-0010-0000-0C00-000004000000}" name="Athlete" dataDxfId="944"/>
    <tableColumn id="38" xr3:uid="{00000000-0010-0000-0C00-000026000000}" name="Club" dataDxfId="943"/>
    <tableColumn id="37" xr3:uid="{00000000-0010-0000-0C00-000025000000}" name="Country" dataDxfId="942"/>
    <tableColumn id="15" xr3:uid="{00000000-0010-0000-0C00-00000F000000}" name="Judge 1_x000a_Tamara Beljak" dataDxfId="941"/>
    <tableColumn id="33" xr3:uid="{00000000-0010-0000-0C00-000021000000}" name="J1 (-)" dataDxfId="940"/>
    <tableColumn id="26" xr3:uid="{00000000-0010-0000-0C00-00001A000000}" name="J1 TOTAL" dataDxfId="939">
      <calculatedColumnFormula>Twirling_Solo_Program289101112131415161718525354555657586061[[#This Row],[Judge 1
Tamara Beljak]]-J2</calculatedColumnFormula>
    </tableColumn>
    <tableColumn id="3" xr3:uid="{00000000-0010-0000-0C00-000003000000}" name="J1 (Rank)" dataDxfId="938">
      <calculatedColumnFormula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Row],[Category]],Twirling_Solo_Program289101112131415161718525354555657586061[J1 TOTAL],"&gt;"&amp;Twirling_Solo_Program289101112131415161718525354555657586061[[#This Row],[J1 TOTAL]])+1</calculatedColumnFormula>
    </tableColumn>
    <tableColumn id="16" xr3:uid="{00000000-0010-0000-0C00-000010000000}" name="Judge 2_x000a_Tihomir Bendelja" dataDxfId="937"/>
    <tableColumn id="34" xr3:uid="{00000000-0010-0000-0C00-000022000000}" name="J2 (-)" dataDxfId="936"/>
    <tableColumn id="28" xr3:uid="{00000000-0010-0000-0C00-00001C000000}" name="J2 TOTAL" dataDxfId="935">
      <calculatedColumnFormula>Twirling_Solo_Program289101112131415161718525354555657586061[[#This Row],[Judge 2
Tihomir Bendelja]]-Twirling_Solo_Program289101112131415161718525354555657586061[[#This Row],[J2 (-)]]</calculatedColumnFormula>
    </tableColumn>
    <tableColumn id="5" xr3:uid="{00000000-0010-0000-0C00-000005000000}" name="J2 (Rank)" dataDxfId="934">
      <calculatedColumnFormula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Row],[Category]],Twirling_Solo_Program289101112131415161718525354555657586061[J2 TOTAL],"&gt;"&amp;Twirling_Solo_Program289101112131415161718525354555657586061[[#This Row],[J2 TOTAL]])+1</calculatedColumnFormula>
    </tableColumn>
    <tableColumn id="17" xr3:uid="{00000000-0010-0000-0C00-000011000000}" name="Judge 3_x000a_Barbara Novina" dataDxfId="933"/>
    <tableColumn id="35" xr3:uid="{00000000-0010-0000-0C00-000023000000}" name="J3 (-)" dataDxfId="932"/>
    <tableColumn id="30" xr3:uid="{00000000-0010-0000-0C00-00001E000000}" name="J3 TOTAL" dataDxfId="931">
      <calculatedColumnFormula>Twirling_Solo_Program289101112131415161718525354555657586061[[#This Row],[Judge 3
Barbara Novina]]-R2</calculatedColumnFormula>
    </tableColumn>
    <tableColumn id="6" xr3:uid="{00000000-0010-0000-0C00-000006000000}" name="J3 (Rank)" dataDxfId="930">
      <calculatedColumnFormula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Row],[Category]],Twirling_Solo_Program289101112131415161718525354555657586061[J3 TOTAL],"&gt;"&amp;Twirling_Solo_Program289101112131415161718525354555657586061[[#This Row],[J3 TOTAL]])+1</calculatedColumnFormula>
    </tableColumn>
    <tableColumn id="18" xr3:uid="{00000000-0010-0000-0C00-000012000000}" name="Judge 4_x000a_Bernard Barač" dataDxfId="929"/>
    <tableColumn id="36" xr3:uid="{00000000-0010-0000-0C00-000024000000}" name="J4 (-)" dataDxfId="928"/>
    <tableColumn id="31" xr3:uid="{00000000-0010-0000-0C00-00001F000000}" name="J4 TOTAL" dataDxfId="927">
      <calculatedColumnFormula>Twirling_Solo_Program289101112131415161718525354555657586061[[#This Row],[Judge 4
Bernard Barač]]-V2</calculatedColumnFormula>
    </tableColumn>
    <tableColumn id="7" xr3:uid="{00000000-0010-0000-0C00-000007000000}" name="J4 (Rank)" dataDxfId="926">
      <calculatedColumnFormula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Row],[Category]],Twirling_Solo_Program289101112131415161718525354555657586061[J4 TOTAL],"&gt;"&amp;Twirling_Solo_Program289101112131415161718525354555657586061[[#This Row],[J4 TOTAL]])+1</calculatedColumnFormula>
    </tableColumn>
    <tableColumn id="20" xr3:uid="{00000000-0010-0000-0C00-000014000000}" name="Total" dataDxfId="925">
      <calculatedColumnFormula>SUM(Twirling_Solo_Program289101112131415161718525354555657586061[[#This Row],[J1 TOTAL]]+Twirling_Solo_Program289101112131415161718525354555657586061[[#This Row],[J2 TOTAL]]+Twirling_Solo_Program289101112131415161718525354555657586061[[#This Row],[J3 TOTAL]]+Twirling_Solo_Program289101112131415161718525354555657586061[[#This Row],[J4 TOTAL]])</calculatedColumnFormula>
    </tableColumn>
    <tableColumn id="23" xr3:uid="{00000000-0010-0000-0C00-000017000000}" name="Low" dataDxfId="924"/>
    <tableColumn id="19" xr3:uid="{00000000-0010-0000-0C00-000013000000}" name="High" dataDxfId="923"/>
    <tableColumn id="25" xr3:uid="{00000000-0010-0000-0C00-000019000000}" name="Final Total" dataDxfId="922">
      <calculatedColumnFormula>SUM(Twirling_Solo_Program289101112131415161718525354555657586061[[#This Row],[Total]]-Twirling_Solo_Program289101112131415161718525354555657586061[[#This Row],[Low]]-Twirling_Solo_Program289101112131415161718525354555657586061[[#This Row],[High]])</calculatedColumnFormula>
    </tableColumn>
    <tableColumn id="24" xr3:uid="{00000000-0010-0000-0C00-000018000000}" name="Avg" dataDxfId="921">
      <calculatedColumnFormula>AVERAGE(I2,M2,Q2,U2)</calculatedColumnFormula>
    </tableColumn>
    <tableColumn id="22" xr3:uid="{00000000-0010-0000-0C00-000016000000}" name="FINAL SCORE" dataDxfId="920">
      <calculatedColumnFormula>Twirling_Solo_Program289101112131415161718525354555657586061[[#This Row],[Final Total]]</calculatedColumnFormula>
    </tableColumn>
    <tableColumn id="27" xr3:uid="{00000000-0010-0000-0C00-00001B000000}" name="Rank" dataDxfId="919">
      <calculatedColumnFormula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Row],[Category]],Twirling_Solo_Program289101112131415161718525354555657586061[FINAL SCORE],"&gt;"&amp;Twirling_Solo_Program289101112131415161718525354555657586061[[#This Row],[FINAL SCORE]])+1</calculatedColumnFormula>
    </tableColumn>
    <tableColumn id="39" xr3:uid="{00000000-0010-0000-0C00-000027000000}" name="Category Type" dataDxfId="91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0B000000}" name="Twirling_Solo_Program28910111213141516171852535455565758606162" displayName="Twirling_Solo_Program28910111213141516171852535455565758606162" ref="A1:AF2" totalsRowShown="0" headerRowDxfId="917" dataDxfId="916">
  <autoFilter ref="A1:AF2" xr:uid="{00000000-0009-0000-0100-00003D000000}"/>
  <tableColumns count="32">
    <tableColumn id="1" xr3:uid="{00000000-0010-0000-0B00-000001000000}" name="Start No." dataDxfId="915"/>
    <tableColumn id="8" xr3:uid="{00000000-0010-0000-0B00-000008000000}" name="Lane" dataDxfId="914"/>
    <tableColumn id="9" xr3:uid="{00000000-0010-0000-0B00-000009000000}" name="Category" dataDxfId="913"/>
    <tableColumn id="32" xr3:uid="{00000000-0010-0000-0B00-000020000000}" name="Age_x000a_Division" dataDxfId="912"/>
    <tableColumn id="40" xr3:uid="{00000000-0010-0000-0B00-000028000000}" name="Level" dataDxfId="911"/>
    <tableColumn id="4" xr3:uid="{00000000-0010-0000-0B00-000004000000}" name="Athlete" dataDxfId="910"/>
    <tableColumn id="38" xr3:uid="{00000000-0010-0000-0B00-000026000000}" name="Club" dataDxfId="909"/>
    <tableColumn id="37" xr3:uid="{00000000-0010-0000-0B00-000025000000}" name="Country" dataDxfId="908"/>
    <tableColumn id="15" xr3:uid="{00000000-0010-0000-0B00-00000F000000}" name="Judge 1_x000a_Tamara Beljak" dataDxfId="907"/>
    <tableColumn id="33" xr3:uid="{00000000-0010-0000-0B00-000021000000}" name="J1 (-)" dataDxfId="906"/>
    <tableColumn id="26" xr3:uid="{00000000-0010-0000-0B00-00001A000000}" name="J1 TOTAL" dataDxfId="905">
      <calculatedColumnFormula>Twirling_Solo_Program28910111213141516171852535455565758606162[[#This Row],[Judge 1
Tamara Beljak]]-J2</calculatedColumnFormula>
    </tableColumn>
    <tableColumn id="3" xr3:uid="{00000000-0010-0000-0B00-000003000000}" name="J1 (Rank)" dataDxfId="904">
      <calculatedColumnFormula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Row],[Category]],Twirling_Solo_Program28910111213141516171852535455565758606162[J1 TOTAL],"&gt;"&amp;Twirling_Solo_Program28910111213141516171852535455565758606162[[#This Row],[J1 TOTAL]])+1</calculatedColumnFormula>
    </tableColumn>
    <tableColumn id="16" xr3:uid="{00000000-0010-0000-0B00-000010000000}" name="Judge 2_x000a_Tihomir Bendelja" dataDxfId="903"/>
    <tableColumn id="34" xr3:uid="{00000000-0010-0000-0B00-000022000000}" name="J2 (-)" dataDxfId="902"/>
    <tableColumn id="28" xr3:uid="{00000000-0010-0000-0B00-00001C000000}" name="J2 TOTAL" dataDxfId="901">
      <calculatedColumnFormula>Twirling_Solo_Program28910111213141516171852535455565758606162[[#This Row],[Judge 2
Tihomir Bendelja]]-Twirling_Solo_Program28910111213141516171852535455565758606162[[#This Row],[J2 (-)]]</calculatedColumnFormula>
    </tableColumn>
    <tableColumn id="5" xr3:uid="{00000000-0010-0000-0B00-000005000000}" name="J2 (Rank)" dataDxfId="900">
      <calculatedColumnFormula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Row],[Category]],Twirling_Solo_Program28910111213141516171852535455565758606162[J2 TOTAL],"&gt;"&amp;Twirling_Solo_Program28910111213141516171852535455565758606162[[#This Row],[J2 TOTAL]])+1</calculatedColumnFormula>
    </tableColumn>
    <tableColumn id="17" xr3:uid="{00000000-0010-0000-0B00-000011000000}" name="Judge 3_x000a_Barbara Novina" dataDxfId="899"/>
    <tableColumn id="35" xr3:uid="{00000000-0010-0000-0B00-000023000000}" name="J3 (-)" dataDxfId="898"/>
    <tableColumn id="30" xr3:uid="{00000000-0010-0000-0B00-00001E000000}" name="J3 TOTAL" dataDxfId="897">
      <calculatedColumnFormula>Twirling_Solo_Program28910111213141516171852535455565758606162[[#This Row],[Judge 3
Barbara Novina]]-R2</calculatedColumnFormula>
    </tableColumn>
    <tableColumn id="6" xr3:uid="{00000000-0010-0000-0B00-000006000000}" name="J3 (Rank)" dataDxfId="896">
      <calculatedColumnFormula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Row],[Category]],Twirling_Solo_Program28910111213141516171852535455565758606162[J3 TOTAL],"&gt;"&amp;Twirling_Solo_Program28910111213141516171852535455565758606162[[#This Row],[J3 TOTAL]])+1</calculatedColumnFormula>
    </tableColumn>
    <tableColumn id="18" xr3:uid="{00000000-0010-0000-0B00-000012000000}" name="Judge 4_x000a_Bernard Barač" dataDxfId="895"/>
    <tableColumn id="36" xr3:uid="{00000000-0010-0000-0B00-000024000000}" name="J4 (-)" dataDxfId="894"/>
    <tableColumn id="31" xr3:uid="{00000000-0010-0000-0B00-00001F000000}" name="J4 TOTAL" dataDxfId="893">
      <calculatedColumnFormula>Twirling_Solo_Program28910111213141516171852535455565758606162[[#This Row],[Judge 4
Bernard Barač]]-V2</calculatedColumnFormula>
    </tableColumn>
    <tableColumn id="7" xr3:uid="{00000000-0010-0000-0B00-000007000000}" name="J4 (Rank)" dataDxfId="892">
      <calculatedColumnFormula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Row],[Category]],Twirling_Solo_Program28910111213141516171852535455565758606162[J4 TOTAL],"&gt;"&amp;Twirling_Solo_Program28910111213141516171852535455565758606162[[#This Row],[J4 TOTAL]])+1</calculatedColumnFormula>
    </tableColumn>
    <tableColumn id="20" xr3:uid="{00000000-0010-0000-0B00-000014000000}" name="Total" dataDxfId="891">
      <calculatedColumnFormula>SUM(Twirling_Solo_Program28910111213141516171852535455565758606162[[#This Row],[J1 TOTAL]]+Twirling_Solo_Program28910111213141516171852535455565758606162[[#This Row],[J2 TOTAL]]+Twirling_Solo_Program28910111213141516171852535455565758606162[[#This Row],[J3 TOTAL]]+Twirling_Solo_Program28910111213141516171852535455565758606162[[#This Row],[J4 TOTAL]])</calculatedColumnFormula>
    </tableColumn>
    <tableColumn id="23" xr3:uid="{00000000-0010-0000-0B00-000017000000}" name="Low" dataDxfId="890"/>
    <tableColumn id="19" xr3:uid="{00000000-0010-0000-0B00-000013000000}" name="High" dataDxfId="889"/>
    <tableColumn id="25" xr3:uid="{00000000-0010-0000-0B00-000019000000}" name="Final Total" dataDxfId="888">
      <calculatedColumnFormula>SUM(Twirling_Solo_Program28910111213141516171852535455565758606162[[#This Row],[Total]]-Twirling_Solo_Program28910111213141516171852535455565758606162[[#This Row],[Low]]-Twirling_Solo_Program28910111213141516171852535455565758606162[[#This Row],[High]])</calculatedColumnFormula>
    </tableColumn>
    <tableColumn id="24" xr3:uid="{00000000-0010-0000-0B00-000018000000}" name="Avg" dataDxfId="887">
      <calculatedColumnFormula>AVERAGE(I2,M2,Q2,U2)</calculatedColumnFormula>
    </tableColumn>
    <tableColumn id="22" xr3:uid="{00000000-0010-0000-0B00-000016000000}" name="FINAL SCORE" dataDxfId="886">
      <calculatedColumnFormula>Twirling_Solo_Program28910111213141516171852535455565758606162[[#This Row],[Final Total]]</calculatedColumnFormula>
    </tableColumn>
    <tableColumn id="27" xr3:uid="{00000000-0010-0000-0B00-00001B000000}" name="Rank" dataDxfId="885">
      <calculatedColumnFormula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Row],[Category]],Twirling_Solo_Program28910111213141516171852535455565758606162[FINAL SCORE],"&gt;"&amp;Twirling_Solo_Program28910111213141516171852535455565758606162[[#This Row],[FINAL SCORE]])+1</calculatedColumnFormula>
    </tableColumn>
    <tableColumn id="39" xr3:uid="{00000000-0010-0000-0B00-000027000000}" name="Category Type" dataDxfId="88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0D000000}" name="Twirling_Solo_Program2891011121314151617185253545556575860616366" displayName="Twirling_Solo_Program2891011121314151617185253545556575860616366" ref="A1:AF7" totalsRowShown="0" headerRowDxfId="883" dataDxfId="882">
  <autoFilter ref="A1:AF7" xr:uid="{00000000-0009-0000-0100-000041000000}"/>
  <sortState xmlns:xlrd2="http://schemas.microsoft.com/office/spreadsheetml/2017/richdata2" ref="A2:AF7">
    <sortCondition ref="AE2:AE7"/>
  </sortState>
  <tableColumns count="32">
    <tableColumn id="1" xr3:uid="{00000000-0010-0000-0D00-000001000000}" name="Start No." dataDxfId="881"/>
    <tableColumn id="8" xr3:uid="{00000000-0010-0000-0D00-000008000000}" name="Lane" dataDxfId="880"/>
    <tableColumn id="9" xr3:uid="{00000000-0010-0000-0D00-000009000000}" name="Category" dataDxfId="879"/>
    <tableColumn id="32" xr3:uid="{00000000-0010-0000-0D00-000020000000}" name="Age_x000a_Division" dataDxfId="878"/>
    <tableColumn id="40" xr3:uid="{00000000-0010-0000-0D00-000028000000}" name="Level" dataDxfId="877"/>
    <tableColumn id="4" xr3:uid="{00000000-0010-0000-0D00-000004000000}" name="Athlete" dataDxfId="876"/>
    <tableColumn id="38" xr3:uid="{00000000-0010-0000-0D00-000026000000}" name="Club" dataDxfId="875"/>
    <tableColumn id="37" xr3:uid="{00000000-0010-0000-0D00-000025000000}" name="Country" dataDxfId="874"/>
    <tableColumn id="15" xr3:uid="{00000000-0010-0000-0D00-00000F000000}" name="Judge 1_x000a_Tamara Beljak" dataDxfId="873"/>
    <tableColumn id="33" xr3:uid="{00000000-0010-0000-0D00-000021000000}" name="J1 (-)" dataDxfId="872"/>
    <tableColumn id="26" xr3:uid="{00000000-0010-0000-0D00-00001A000000}" name="J1 TOTAL" dataDxfId="871">
      <calculatedColumnFormula>Twirling_Solo_Program2891011121314151617185253545556575860616366[[#This Row],[Judge 1
Tamara Beljak]]-J2</calculatedColumnFormula>
    </tableColumn>
    <tableColumn id="3" xr3:uid="{00000000-0010-0000-0D00-000003000000}" name="J1 (Rank)" dataDxfId="870">
      <calculatedColumnFormula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Row],[Category]],Twirling_Solo_Program2891011121314151617185253545556575860616366[J1 TOTAL],"&gt;"&amp;Twirling_Solo_Program2891011121314151617185253545556575860616366[[#This Row],[J1 TOTAL]])+1</calculatedColumnFormula>
    </tableColumn>
    <tableColumn id="16" xr3:uid="{00000000-0010-0000-0D00-000010000000}" name="Judge 2_x000a_Tihomir Bendelja" dataDxfId="869"/>
    <tableColumn id="34" xr3:uid="{00000000-0010-0000-0D00-000022000000}" name="J2 (-)" dataDxfId="868"/>
    <tableColumn id="28" xr3:uid="{00000000-0010-0000-0D00-00001C000000}" name="J2 TOTAL" dataDxfId="867">
      <calculatedColumnFormula>Twirling_Solo_Program2891011121314151617185253545556575860616366[[#This Row],[Judge 2
Tihomir Bendelja]]-Twirling_Solo_Program2891011121314151617185253545556575860616366[[#This Row],[J2 (-)]]</calculatedColumnFormula>
    </tableColumn>
    <tableColumn id="5" xr3:uid="{00000000-0010-0000-0D00-000005000000}" name="J2 (Rank)" dataDxfId="866">
      <calculatedColumnFormula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Row],[Category]],Twirling_Solo_Program2891011121314151617185253545556575860616366[J2 TOTAL],"&gt;"&amp;Twirling_Solo_Program2891011121314151617185253545556575860616366[[#This Row],[J2 TOTAL]])+1</calculatedColumnFormula>
    </tableColumn>
    <tableColumn id="17" xr3:uid="{00000000-0010-0000-0D00-000011000000}" name="Judge 3_x000a_Barbara Novina" dataDxfId="865"/>
    <tableColumn id="35" xr3:uid="{00000000-0010-0000-0D00-000023000000}" name="J3 (-)" dataDxfId="864"/>
    <tableColumn id="30" xr3:uid="{00000000-0010-0000-0D00-00001E000000}" name="J3 TOTAL" dataDxfId="863">
      <calculatedColumnFormula>Twirling_Solo_Program2891011121314151617185253545556575860616366[[#This Row],[Judge 3
Barbara Novina]]-R2</calculatedColumnFormula>
    </tableColumn>
    <tableColumn id="6" xr3:uid="{00000000-0010-0000-0D00-000006000000}" name="J3 (Rank)" dataDxfId="862">
      <calculatedColumnFormula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Row],[Category]],Twirling_Solo_Program2891011121314151617185253545556575860616366[J3 TOTAL],"&gt;"&amp;Twirling_Solo_Program2891011121314151617185253545556575860616366[[#This Row],[J3 TOTAL]])+1</calculatedColumnFormula>
    </tableColumn>
    <tableColumn id="18" xr3:uid="{00000000-0010-0000-0D00-000012000000}" name="Judge 4_x000a_Bernard Barač" dataDxfId="861"/>
    <tableColumn id="36" xr3:uid="{00000000-0010-0000-0D00-000024000000}" name="J4 (-)" dataDxfId="860"/>
    <tableColumn id="31" xr3:uid="{00000000-0010-0000-0D00-00001F000000}" name="J4 TOTAL" dataDxfId="859">
      <calculatedColumnFormula>Twirling_Solo_Program2891011121314151617185253545556575860616366[[#This Row],[Judge 4
Bernard Barač]]-V2</calculatedColumnFormula>
    </tableColumn>
    <tableColumn id="7" xr3:uid="{00000000-0010-0000-0D00-000007000000}" name="J4 (Rank)" dataDxfId="858">
      <calculatedColumnFormula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Row],[Category]],Twirling_Solo_Program2891011121314151617185253545556575860616366[J4 TOTAL],"&gt;"&amp;Twirling_Solo_Program2891011121314151617185253545556575860616366[[#This Row],[J4 TOTAL]])+1</calculatedColumnFormula>
    </tableColumn>
    <tableColumn id="20" xr3:uid="{00000000-0010-0000-0D00-000014000000}" name="Total" dataDxfId="857">
      <calculatedColumnFormula>SUM(Twirling_Solo_Program2891011121314151617185253545556575860616366[[#This Row],[J1 TOTAL]]+Twirling_Solo_Program2891011121314151617185253545556575860616366[[#This Row],[J2 TOTAL]]+Twirling_Solo_Program2891011121314151617185253545556575860616366[[#This Row],[J3 TOTAL]]+Twirling_Solo_Program2891011121314151617185253545556575860616366[[#This Row],[J4 TOTAL]])</calculatedColumnFormula>
    </tableColumn>
    <tableColumn id="23" xr3:uid="{00000000-0010-0000-0D00-000017000000}" name="Low" dataDxfId="856"/>
    <tableColumn id="19" xr3:uid="{00000000-0010-0000-0D00-000013000000}" name="High" dataDxfId="855"/>
    <tableColumn id="25" xr3:uid="{00000000-0010-0000-0D00-000019000000}" name="Final Total" dataDxfId="854">
      <calculatedColumnFormula>SUM(Twirling_Solo_Program2891011121314151617185253545556575860616366[[#This Row],[Total]]-Twirling_Solo_Program2891011121314151617185253545556575860616366[[#This Row],[Low]]-Twirling_Solo_Program2891011121314151617185253545556575860616366[[#This Row],[High]])</calculatedColumnFormula>
    </tableColumn>
    <tableColumn id="24" xr3:uid="{00000000-0010-0000-0D00-000018000000}" name="Avg" dataDxfId="853">
      <calculatedColumnFormula>AVERAGE(I2,M2,Q2,U2)</calculatedColumnFormula>
    </tableColumn>
    <tableColumn id="22" xr3:uid="{00000000-0010-0000-0D00-000016000000}" name="FINAL SCORE" dataDxfId="852">
      <calculatedColumnFormula>Twirling_Solo_Program2891011121314151617185253545556575860616366[[#This Row],[Final Total]]</calculatedColumnFormula>
    </tableColumn>
    <tableColumn id="27" xr3:uid="{00000000-0010-0000-0D00-00001B000000}" name="Rank" dataDxfId="851">
      <calculatedColumnFormula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Row],[Category]],Twirling_Solo_Program2891011121314151617185253545556575860616366[FINAL SCORE],"&gt;"&amp;Twirling_Solo_Program2891011121314151617185253545556575860616366[[#This Row],[FINAL SCORE]])+1</calculatedColumnFormula>
    </tableColumn>
    <tableColumn id="39" xr3:uid="{00000000-0010-0000-0D00-000027000000}" name="Category Type" dataDxfId="85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0E000000}" name="Twirling_Solo_Program28910111213141516171852535455565758606163" displayName="Twirling_Solo_Program28910111213141516171852535455565758606163" ref="A1:AF20" totalsRowShown="0" headerRowDxfId="849" dataDxfId="848">
  <autoFilter ref="A1:AF20" xr:uid="{00000000-0009-0000-0100-00003E000000}"/>
  <sortState xmlns:xlrd2="http://schemas.microsoft.com/office/spreadsheetml/2017/richdata2" ref="A2:AF20">
    <sortCondition ref="AE2:AE20"/>
  </sortState>
  <tableColumns count="32">
    <tableColumn id="1" xr3:uid="{00000000-0010-0000-0E00-000001000000}" name="Start No." dataDxfId="847"/>
    <tableColumn id="8" xr3:uid="{00000000-0010-0000-0E00-000008000000}" name="Lane" dataDxfId="846"/>
    <tableColumn id="9" xr3:uid="{00000000-0010-0000-0E00-000009000000}" name="Category" dataDxfId="845"/>
    <tableColumn id="32" xr3:uid="{00000000-0010-0000-0E00-000020000000}" name="Age_x000a_Division" dataDxfId="844"/>
    <tableColumn id="40" xr3:uid="{00000000-0010-0000-0E00-000028000000}" name="Level" dataDxfId="843"/>
    <tableColumn id="4" xr3:uid="{00000000-0010-0000-0E00-000004000000}" name="Athlete" dataDxfId="842"/>
    <tableColumn id="38" xr3:uid="{00000000-0010-0000-0E00-000026000000}" name="Club" dataDxfId="841"/>
    <tableColumn id="37" xr3:uid="{00000000-0010-0000-0E00-000025000000}" name="Country" dataDxfId="840"/>
    <tableColumn id="15" xr3:uid="{00000000-0010-0000-0E00-00000F000000}" name="Judge 1_x000a_Tamara Beljak" dataDxfId="839"/>
    <tableColumn id="33" xr3:uid="{00000000-0010-0000-0E00-000021000000}" name="J1 (-)" dataDxfId="838"/>
    <tableColumn id="26" xr3:uid="{00000000-0010-0000-0E00-00001A000000}" name="J1 TOTAL" dataDxfId="837">
      <calculatedColumnFormula>Twirling_Solo_Program28910111213141516171852535455565758606163[[#This Row],[Judge 1
Tamara Beljak]]-J2</calculatedColumnFormula>
    </tableColumn>
    <tableColumn id="3" xr3:uid="{00000000-0010-0000-0E00-000003000000}" name="J1 (Rank)" dataDxfId="836">
      <calculatedColumnFormula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calculatedColumnFormula>
    </tableColumn>
    <tableColumn id="16" xr3:uid="{00000000-0010-0000-0E00-000010000000}" name="Judge 2_x000a_Tihomir Bendelja" dataDxfId="835"/>
    <tableColumn id="34" xr3:uid="{00000000-0010-0000-0E00-000022000000}" name="J2 (-)" dataDxfId="834"/>
    <tableColumn id="28" xr3:uid="{00000000-0010-0000-0E00-00001C000000}" name="J2 TOTAL" dataDxfId="833">
      <calculatedColumnFormula>Twirling_Solo_Program28910111213141516171852535455565758606163[[#This Row],[Judge 2
Tihomir Bendelja]]-Twirling_Solo_Program28910111213141516171852535455565758606163[[#This Row],[J2 (-)]]</calculatedColumnFormula>
    </tableColumn>
    <tableColumn id="5" xr3:uid="{00000000-0010-0000-0E00-000005000000}" name="J2 (Rank)" dataDxfId="832">
      <calculatedColumnFormula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calculatedColumnFormula>
    </tableColumn>
    <tableColumn id="17" xr3:uid="{00000000-0010-0000-0E00-000011000000}" name="Judge 3_x000a_Barbara Novina" dataDxfId="831"/>
    <tableColumn id="35" xr3:uid="{00000000-0010-0000-0E00-000023000000}" name="J3 (-)" dataDxfId="830"/>
    <tableColumn id="30" xr3:uid="{00000000-0010-0000-0E00-00001E000000}" name="J3 TOTAL" dataDxfId="829">
      <calculatedColumnFormula>Twirling_Solo_Program28910111213141516171852535455565758606163[[#This Row],[Judge 3
Barbara Novina]]-R2</calculatedColumnFormula>
    </tableColumn>
    <tableColumn id="6" xr3:uid="{00000000-0010-0000-0E00-000006000000}" name="J3 (Rank)" dataDxfId="828">
      <calculatedColumnFormula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calculatedColumnFormula>
    </tableColumn>
    <tableColumn id="18" xr3:uid="{00000000-0010-0000-0E00-000012000000}" name="Judge 4_x000a_Bernard Barač" dataDxfId="827"/>
    <tableColumn id="36" xr3:uid="{00000000-0010-0000-0E00-000024000000}" name="J4 (-)" dataDxfId="826"/>
    <tableColumn id="31" xr3:uid="{00000000-0010-0000-0E00-00001F000000}" name="J4 TOTAL" dataDxfId="825">
      <calculatedColumnFormula>Twirling_Solo_Program28910111213141516171852535455565758606163[[#This Row],[Judge 4
Bernard Barač]]-V2</calculatedColumnFormula>
    </tableColumn>
    <tableColumn id="7" xr3:uid="{00000000-0010-0000-0E00-000007000000}" name="J4 (Rank)" dataDxfId="824">
      <calculatedColumnFormula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calculatedColumnFormula>
    </tableColumn>
    <tableColumn id="20" xr3:uid="{00000000-0010-0000-0E00-000014000000}" name="Total" dataDxfId="823">
      <calculatedColumnFormula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calculatedColumnFormula>
    </tableColumn>
    <tableColumn id="23" xr3:uid="{00000000-0010-0000-0E00-000017000000}" name="Low" dataDxfId="822"/>
    <tableColumn id="19" xr3:uid="{00000000-0010-0000-0E00-000013000000}" name="High" dataDxfId="821"/>
    <tableColumn id="25" xr3:uid="{00000000-0010-0000-0E00-000019000000}" name="Final Total" dataDxfId="820">
      <calculatedColumnFormula>SUM(Twirling_Solo_Program28910111213141516171852535455565758606163[[#This Row],[Total]]-Twirling_Solo_Program28910111213141516171852535455565758606163[[#This Row],[Low]]-Twirling_Solo_Program28910111213141516171852535455565758606163[[#This Row],[High]])</calculatedColumnFormula>
    </tableColumn>
    <tableColumn id="24" xr3:uid="{00000000-0010-0000-0E00-000018000000}" name="Avg" dataDxfId="819">
      <calculatedColumnFormula>AVERAGE(I2,M2,Q2,U2)</calculatedColumnFormula>
    </tableColumn>
    <tableColumn id="22" xr3:uid="{00000000-0010-0000-0E00-000016000000}" name="FINAL SCORE" dataDxfId="818">
      <calculatedColumnFormula>Twirling_Solo_Program28910111213141516171852535455565758606163[[#This Row],[Final Total]]</calculatedColumnFormula>
    </tableColumn>
    <tableColumn id="27" xr3:uid="{00000000-0010-0000-0E00-00001B000000}" name="Rank" dataDxfId="817">
      <calculatedColumnFormula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calculatedColumnFormula>
    </tableColumn>
    <tableColumn id="39" xr3:uid="{00000000-0010-0000-0E00-000027000000}" name="Category Type" dataDxfId="8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0F000000}" name="Twirling_Solo_Program2891011121314151617185253545556575860616365" displayName="Twirling_Solo_Program2891011121314151617185253545556575860616365" ref="A1:AF12" totalsRowShown="0" headerRowDxfId="815" dataDxfId="814">
  <autoFilter ref="A1:AF12" xr:uid="{00000000-0009-0000-0100-000040000000}"/>
  <sortState xmlns:xlrd2="http://schemas.microsoft.com/office/spreadsheetml/2017/richdata2" ref="A2:AF12">
    <sortCondition ref="AE2:AE12"/>
  </sortState>
  <tableColumns count="32">
    <tableColumn id="1" xr3:uid="{00000000-0010-0000-0F00-000001000000}" name="Start No." dataDxfId="813"/>
    <tableColumn id="8" xr3:uid="{00000000-0010-0000-0F00-000008000000}" name="Lane" dataDxfId="812"/>
    <tableColumn id="9" xr3:uid="{00000000-0010-0000-0F00-000009000000}" name="Category" dataDxfId="811"/>
    <tableColumn id="32" xr3:uid="{00000000-0010-0000-0F00-000020000000}" name="Age_x000a_Division" dataDxfId="810"/>
    <tableColumn id="40" xr3:uid="{00000000-0010-0000-0F00-000028000000}" name="Level" dataDxfId="809"/>
    <tableColumn id="4" xr3:uid="{00000000-0010-0000-0F00-000004000000}" name="Athlete" dataDxfId="808"/>
    <tableColumn id="38" xr3:uid="{00000000-0010-0000-0F00-000026000000}" name="Club" dataDxfId="807"/>
    <tableColumn id="37" xr3:uid="{00000000-0010-0000-0F00-000025000000}" name="Country" dataDxfId="806"/>
    <tableColumn id="15" xr3:uid="{00000000-0010-0000-0F00-00000F000000}" name="Judge 1_x000a_Tamara Beljak" dataDxfId="805"/>
    <tableColumn id="33" xr3:uid="{00000000-0010-0000-0F00-000021000000}" name="J1 (-)" dataDxfId="804"/>
    <tableColumn id="26" xr3:uid="{00000000-0010-0000-0F00-00001A000000}" name="J1 TOTAL" dataDxfId="803">
      <calculatedColumnFormula>Twirling_Solo_Program2891011121314151617185253545556575860616365[[#This Row],[Judge 1
Tamara Beljak]]-J2</calculatedColumnFormula>
    </tableColumn>
    <tableColumn id="3" xr3:uid="{00000000-0010-0000-0F00-000003000000}" name="J1 (Rank)" dataDxfId="802">
      <calculatedColumnFormula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calculatedColumnFormula>
    </tableColumn>
    <tableColumn id="16" xr3:uid="{00000000-0010-0000-0F00-000010000000}" name="Judge 2_x000a_Tihomir Bendelja" dataDxfId="801"/>
    <tableColumn id="34" xr3:uid="{00000000-0010-0000-0F00-000022000000}" name="J2 (-)" dataDxfId="800"/>
    <tableColumn id="28" xr3:uid="{00000000-0010-0000-0F00-00001C000000}" name="J2 TOTAL" dataDxfId="799">
      <calculatedColumnFormula>Twirling_Solo_Program2891011121314151617185253545556575860616365[[#This Row],[Judge 2
Tihomir Bendelja]]-Twirling_Solo_Program2891011121314151617185253545556575860616365[[#This Row],[J2 (-)]]</calculatedColumnFormula>
    </tableColumn>
    <tableColumn id="5" xr3:uid="{00000000-0010-0000-0F00-000005000000}" name="J2 (Rank)" dataDxfId="798">
      <calculatedColumnFormula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calculatedColumnFormula>
    </tableColumn>
    <tableColumn id="17" xr3:uid="{00000000-0010-0000-0F00-000011000000}" name="Judge 3_x000a_Barbara Novina" dataDxfId="797"/>
    <tableColumn id="35" xr3:uid="{00000000-0010-0000-0F00-000023000000}" name="J3 (-)" dataDxfId="796"/>
    <tableColumn id="30" xr3:uid="{00000000-0010-0000-0F00-00001E000000}" name="J3 TOTAL" dataDxfId="795">
      <calculatedColumnFormula>Twirling_Solo_Program2891011121314151617185253545556575860616365[[#This Row],[Judge 3
Barbara Novina]]-R2</calculatedColumnFormula>
    </tableColumn>
    <tableColumn id="6" xr3:uid="{00000000-0010-0000-0F00-000006000000}" name="J3 (Rank)" dataDxfId="794">
      <calculatedColumnFormula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calculatedColumnFormula>
    </tableColumn>
    <tableColumn id="18" xr3:uid="{00000000-0010-0000-0F00-000012000000}" name="Judge 4_x000a_Bernard Barač" dataDxfId="793"/>
    <tableColumn id="36" xr3:uid="{00000000-0010-0000-0F00-000024000000}" name="J4 (-)" dataDxfId="792"/>
    <tableColumn id="31" xr3:uid="{00000000-0010-0000-0F00-00001F000000}" name="J4 TOTAL" dataDxfId="791">
      <calculatedColumnFormula>Twirling_Solo_Program2891011121314151617185253545556575860616365[[#This Row],[Judge 4
Bernard Barač]]-V2</calculatedColumnFormula>
    </tableColumn>
    <tableColumn id="7" xr3:uid="{00000000-0010-0000-0F00-000007000000}" name="J4 (Rank)" dataDxfId="790">
      <calculatedColumnFormula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calculatedColumnFormula>
    </tableColumn>
    <tableColumn id="20" xr3:uid="{00000000-0010-0000-0F00-000014000000}" name="Total" dataDxfId="789">
      <calculatedColumnFormula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calculatedColumnFormula>
    </tableColumn>
    <tableColumn id="23" xr3:uid="{00000000-0010-0000-0F00-000017000000}" name="Low" dataDxfId="788"/>
    <tableColumn id="19" xr3:uid="{00000000-0010-0000-0F00-000013000000}" name="High" dataDxfId="787"/>
    <tableColumn id="25" xr3:uid="{00000000-0010-0000-0F00-000019000000}" name="Final Total" dataDxfId="786">
      <calculatedColumnFormula>SUM(Twirling_Solo_Program2891011121314151617185253545556575860616365[[#This Row],[Total]]-Twirling_Solo_Program2891011121314151617185253545556575860616365[[#This Row],[Low]]-Twirling_Solo_Program2891011121314151617185253545556575860616365[[#This Row],[High]])</calculatedColumnFormula>
    </tableColumn>
    <tableColumn id="24" xr3:uid="{00000000-0010-0000-0F00-000018000000}" name="Avg" dataDxfId="785">
      <calculatedColumnFormula>AVERAGE(I2,M2,Q2,U2)</calculatedColumnFormula>
    </tableColumn>
    <tableColumn id="22" xr3:uid="{00000000-0010-0000-0F00-000016000000}" name="FINAL SCORE" dataDxfId="784">
      <calculatedColumnFormula>Twirling_Solo_Program2891011121314151617185253545556575860616365[[#This Row],[Final Total]]</calculatedColumnFormula>
    </tableColumn>
    <tableColumn id="27" xr3:uid="{00000000-0010-0000-0F00-00001B000000}" name="Rank" dataDxfId="783">
      <calculatedColumnFormula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calculatedColumnFormula>
    </tableColumn>
    <tableColumn id="39" xr3:uid="{00000000-0010-0000-0F00-000027000000}" name="Category Type" dataDxfId="78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10000000}" name="Twirling_Solo_Program28910111213141516171852535455565758606163656768" displayName="Twirling_Solo_Program28910111213141516171852535455565758606163656768" ref="A1:AF5" totalsRowShown="0" headerRowDxfId="781" dataDxfId="780">
  <autoFilter ref="A1:AF5" xr:uid="{00000000-0009-0000-0100-000043000000}"/>
  <sortState xmlns:xlrd2="http://schemas.microsoft.com/office/spreadsheetml/2017/richdata2" ref="A2:AF5">
    <sortCondition ref="AE2:AE5"/>
  </sortState>
  <tableColumns count="32">
    <tableColumn id="1" xr3:uid="{00000000-0010-0000-1000-000001000000}" name="Start No." dataDxfId="779"/>
    <tableColumn id="8" xr3:uid="{00000000-0010-0000-1000-000008000000}" name="Lane" dataDxfId="778"/>
    <tableColumn id="9" xr3:uid="{00000000-0010-0000-1000-000009000000}" name="Category" dataDxfId="777"/>
    <tableColumn id="32" xr3:uid="{00000000-0010-0000-1000-000020000000}" name="Age_x000a_Division" dataDxfId="776"/>
    <tableColumn id="40" xr3:uid="{00000000-0010-0000-1000-000028000000}" name="Level" dataDxfId="775"/>
    <tableColumn id="4" xr3:uid="{00000000-0010-0000-1000-000004000000}" name="Athlete" dataDxfId="774"/>
    <tableColumn id="38" xr3:uid="{00000000-0010-0000-1000-000026000000}" name="Club" dataDxfId="773"/>
    <tableColumn id="37" xr3:uid="{00000000-0010-0000-1000-000025000000}" name="Country" dataDxfId="772"/>
    <tableColumn id="15" xr3:uid="{00000000-0010-0000-1000-00000F000000}" name="Judge 1_x000a_Tamara Beljak" dataDxfId="771"/>
    <tableColumn id="33" xr3:uid="{00000000-0010-0000-1000-000021000000}" name="J1 (-)" dataDxfId="770"/>
    <tableColumn id="26" xr3:uid="{00000000-0010-0000-1000-00001A000000}" name="J1 TOTAL" dataDxfId="769">
      <calculatedColumnFormula>Twirling_Solo_Program28910111213141516171852535455565758606163656768[[#This Row],[Judge 1
Tamara Beljak]]-J2</calculatedColumnFormula>
    </tableColumn>
    <tableColumn id="3" xr3:uid="{00000000-0010-0000-1000-000003000000}" name="J1 (Rank)" dataDxfId="768">
      <calculatedColumnFormula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Row],[Category]],Twirling_Solo_Program28910111213141516171852535455565758606163656768[J1 TOTAL],"&gt;"&amp;Twirling_Solo_Program28910111213141516171852535455565758606163656768[[#This Row],[J1 TOTAL]])+1</calculatedColumnFormula>
    </tableColumn>
    <tableColumn id="16" xr3:uid="{00000000-0010-0000-1000-000010000000}" name="Judge 2_x000a_Tihomir Bendelja" dataDxfId="767"/>
    <tableColumn id="34" xr3:uid="{00000000-0010-0000-1000-000022000000}" name="J2 (-)" dataDxfId="766"/>
    <tableColumn id="28" xr3:uid="{00000000-0010-0000-1000-00001C000000}" name="J2 TOTAL" dataDxfId="765">
      <calculatedColumnFormula>Twirling_Solo_Program28910111213141516171852535455565758606163656768[[#This Row],[Judge 2
Tihomir Bendelja]]-Twirling_Solo_Program28910111213141516171852535455565758606163656768[[#This Row],[J2 (-)]]</calculatedColumnFormula>
    </tableColumn>
    <tableColumn id="5" xr3:uid="{00000000-0010-0000-1000-000005000000}" name="J2 (Rank)" dataDxfId="764">
      <calculatedColumnFormula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Row],[Category]],Twirling_Solo_Program28910111213141516171852535455565758606163656768[J2 TOTAL],"&gt;"&amp;Twirling_Solo_Program28910111213141516171852535455565758606163656768[[#This Row],[J2 TOTAL]])+1</calculatedColumnFormula>
    </tableColumn>
    <tableColumn id="17" xr3:uid="{00000000-0010-0000-1000-000011000000}" name="Judge 3_x000a_Barbara Novina" dataDxfId="763"/>
    <tableColumn id="35" xr3:uid="{00000000-0010-0000-1000-000023000000}" name="J3 (-)" dataDxfId="762"/>
    <tableColumn id="30" xr3:uid="{00000000-0010-0000-1000-00001E000000}" name="J3 TOTAL" dataDxfId="761">
      <calculatedColumnFormula>Twirling_Solo_Program28910111213141516171852535455565758606163656768[[#This Row],[Judge 3
Barbara Novina]]-R2</calculatedColumnFormula>
    </tableColumn>
    <tableColumn id="6" xr3:uid="{00000000-0010-0000-1000-000006000000}" name="J3 (Rank)" dataDxfId="760">
      <calculatedColumnFormula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Row],[Category]],Twirling_Solo_Program28910111213141516171852535455565758606163656768[J3 TOTAL],"&gt;"&amp;Twirling_Solo_Program28910111213141516171852535455565758606163656768[[#This Row],[J3 TOTAL]])+1</calculatedColumnFormula>
    </tableColumn>
    <tableColumn id="18" xr3:uid="{00000000-0010-0000-1000-000012000000}" name="Judge 4_x000a_Bernard Barač" dataDxfId="759"/>
    <tableColumn id="36" xr3:uid="{00000000-0010-0000-1000-000024000000}" name="J4 (-)" dataDxfId="758"/>
    <tableColumn id="31" xr3:uid="{00000000-0010-0000-1000-00001F000000}" name="J4 TOTAL" dataDxfId="757">
      <calculatedColumnFormula>Twirling_Solo_Program28910111213141516171852535455565758606163656768[[#This Row],[Judge 4
Bernard Barač]]-V2</calculatedColumnFormula>
    </tableColumn>
    <tableColumn id="7" xr3:uid="{00000000-0010-0000-1000-000007000000}" name="J4 (Rank)" dataDxfId="756">
      <calculatedColumnFormula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Row],[Category]],Twirling_Solo_Program28910111213141516171852535455565758606163656768[J4 TOTAL],"&gt;"&amp;Twirling_Solo_Program28910111213141516171852535455565758606163656768[[#This Row],[J4 TOTAL]])+1</calculatedColumnFormula>
    </tableColumn>
    <tableColumn id="20" xr3:uid="{00000000-0010-0000-1000-000014000000}" name="Total" dataDxfId="755">
      <calculatedColumnFormula>SUM(Twirling_Solo_Program28910111213141516171852535455565758606163656768[[#This Row],[J1 TOTAL]]+Twirling_Solo_Program28910111213141516171852535455565758606163656768[[#This Row],[J2 TOTAL]]+Twirling_Solo_Program28910111213141516171852535455565758606163656768[[#This Row],[J3 TOTAL]]+Twirling_Solo_Program28910111213141516171852535455565758606163656768[[#This Row],[J4 TOTAL]])</calculatedColumnFormula>
    </tableColumn>
    <tableColumn id="23" xr3:uid="{00000000-0010-0000-1000-000017000000}" name="Low" dataDxfId="754"/>
    <tableColumn id="19" xr3:uid="{00000000-0010-0000-1000-000013000000}" name="High" dataDxfId="753"/>
    <tableColumn id="25" xr3:uid="{00000000-0010-0000-1000-000019000000}" name="Final Total" dataDxfId="752">
      <calculatedColumnFormula>SUM(Twirling_Solo_Program28910111213141516171852535455565758606163656768[[#This Row],[Total]]-Twirling_Solo_Program28910111213141516171852535455565758606163656768[[#This Row],[Low]]-Twirling_Solo_Program28910111213141516171852535455565758606163656768[[#This Row],[High]])</calculatedColumnFormula>
    </tableColumn>
    <tableColumn id="24" xr3:uid="{00000000-0010-0000-1000-000018000000}" name="Avg" dataDxfId="751">
      <calculatedColumnFormula>AVERAGE(I2,M2,Q2,U2)</calculatedColumnFormula>
    </tableColumn>
    <tableColumn id="22" xr3:uid="{00000000-0010-0000-1000-000016000000}" name="FINAL SCORE" dataDxfId="750">
      <calculatedColumnFormula>Twirling_Solo_Program28910111213141516171852535455565758606163656768[[#This Row],[Final Total]]</calculatedColumnFormula>
    </tableColumn>
    <tableColumn id="27" xr3:uid="{00000000-0010-0000-1000-00001B000000}" name="Rank" dataDxfId="749">
      <calculatedColumnFormula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Row],[Category]],Twirling_Solo_Program28910111213141516171852535455565758606163656768[FINAL SCORE],"&gt;"&amp;Twirling_Solo_Program28910111213141516171852535455565758606163656768[[#This Row],[FINAL SCORE]])+1</calculatedColumnFormula>
    </tableColumn>
    <tableColumn id="39" xr3:uid="{00000000-0010-0000-1000-000027000000}" name="Category Type" dataDxfId="74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11000000}" name="Twirling_Solo_Program2891011121314151617185253545556575860616365676869" displayName="Twirling_Solo_Program2891011121314151617185253545556575860616365676869" ref="A1:AF17" totalsRowShown="0" headerRowDxfId="747" dataDxfId="746">
  <autoFilter ref="A1:AF17" xr:uid="{00000000-0009-0000-0100-000044000000}"/>
  <sortState xmlns:xlrd2="http://schemas.microsoft.com/office/spreadsheetml/2017/richdata2" ref="A2:AF17">
    <sortCondition ref="AE2:AE17"/>
  </sortState>
  <tableColumns count="32">
    <tableColumn id="1" xr3:uid="{00000000-0010-0000-1100-000001000000}" name="Start No." dataDxfId="745"/>
    <tableColumn id="8" xr3:uid="{00000000-0010-0000-1100-000008000000}" name="Lane" dataDxfId="744"/>
    <tableColumn id="9" xr3:uid="{00000000-0010-0000-1100-000009000000}" name="Category" dataDxfId="743"/>
    <tableColumn id="32" xr3:uid="{00000000-0010-0000-1100-000020000000}" name="Age_x000a_Division" dataDxfId="742"/>
    <tableColumn id="40" xr3:uid="{00000000-0010-0000-1100-000028000000}" name="Level" dataDxfId="741"/>
    <tableColumn id="4" xr3:uid="{00000000-0010-0000-1100-000004000000}" name="Athlete" dataDxfId="740"/>
    <tableColumn id="38" xr3:uid="{00000000-0010-0000-1100-000026000000}" name="Club" dataDxfId="739"/>
    <tableColumn id="37" xr3:uid="{00000000-0010-0000-1100-000025000000}" name="Country" dataDxfId="738"/>
    <tableColumn id="15" xr3:uid="{00000000-0010-0000-1100-00000F000000}" name="Judge 1_x000a_Tamara Beljak" dataDxfId="737"/>
    <tableColumn id="33" xr3:uid="{00000000-0010-0000-1100-000021000000}" name="J1 (-)" dataDxfId="736"/>
    <tableColumn id="26" xr3:uid="{00000000-0010-0000-1100-00001A000000}" name="J1 TOTAL" dataDxfId="735">
      <calculatedColumnFormula>Twirling_Solo_Program2891011121314151617185253545556575860616365676869[[#This Row],[Judge 1
Tamara Beljak]]-J2</calculatedColumnFormula>
    </tableColumn>
    <tableColumn id="3" xr3:uid="{00000000-0010-0000-1100-000003000000}" name="J1 (Rank)" dataDxfId="734">
      <calculatedColumnFormula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calculatedColumnFormula>
    </tableColumn>
    <tableColumn id="16" xr3:uid="{00000000-0010-0000-1100-000010000000}" name="Judge 2_x000a_Tihomir Bendelja" dataDxfId="733"/>
    <tableColumn id="34" xr3:uid="{00000000-0010-0000-1100-000022000000}" name="J2 (-)" dataDxfId="732"/>
    <tableColumn id="28" xr3:uid="{00000000-0010-0000-1100-00001C000000}" name="J2 TOTAL" dataDxfId="731">
      <calculatedColumnFormula>Twirling_Solo_Program2891011121314151617185253545556575860616365676869[[#This Row],[Judge 2
Tihomir Bendelja]]-Twirling_Solo_Program2891011121314151617185253545556575860616365676869[[#This Row],[J2 (-)]]</calculatedColumnFormula>
    </tableColumn>
    <tableColumn id="5" xr3:uid="{00000000-0010-0000-1100-000005000000}" name="J2 (Rank)" dataDxfId="730">
      <calculatedColumnFormula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calculatedColumnFormula>
    </tableColumn>
    <tableColumn id="17" xr3:uid="{00000000-0010-0000-1100-000011000000}" name="Judge 3_x000a_Barbara Novina" dataDxfId="729"/>
    <tableColumn id="35" xr3:uid="{00000000-0010-0000-1100-000023000000}" name="J3 (-)" dataDxfId="728"/>
    <tableColumn id="30" xr3:uid="{00000000-0010-0000-1100-00001E000000}" name="J3 TOTAL" dataDxfId="727">
      <calculatedColumnFormula>Twirling_Solo_Program2891011121314151617185253545556575860616365676869[[#This Row],[Judge 3
Barbara Novina]]-R2</calculatedColumnFormula>
    </tableColumn>
    <tableColumn id="6" xr3:uid="{00000000-0010-0000-1100-000006000000}" name="J3 (Rank)" dataDxfId="726">
      <calculatedColumnFormula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calculatedColumnFormula>
    </tableColumn>
    <tableColumn id="18" xr3:uid="{00000000-0010-0000-1100-000012000000}" name="Judge 4_x000a_Bernard Barač" dataDxfId="725"/>
    <tableColumn id="36" xr3:uid="{00000000-0010-0000-1100-000024000000}" name="J4 (-)" dataDxfId="724"/>
    <tableColumn id="31" xr3:uid="{00000000-0010-0000-1100-00001F000000}" name="J4 TOTAL" dataDxfId="723">
      <calculatedColumnFormula>Twirling_Solo_Program2891011121314151617185253545556575860616365676869[[#This Row],[Judge 4
Bernard Barač]]-V2</calculatedColumnFormula>
    </tableColumn>
    <tableColumn id="7" xr3:uid="{00000000-0010-0000-1100-000007000000}" name="J4 (Rank)" dataDxfId="722">
      <calculatedColumnFormula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calculatedColumnFormula>
    </tableColumn>
    <tableColumn id="20" xr3:uid="{00000000-0010-0000-1100-000014000000}" name="Total" dataDxfId="721">
      <calculatedColumnFormula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calculatedColumnFormula>
    </tableColumn>
    <tableColumn id="23" xr3:uid="{00000000-0010-0000-1100-000017000000}" name="Low" dataDxfId="720"/>
    <tableColumn id="19" xr3:uid="{00000000-0010-0000-1100-000013000000}" name="High" dataDxfId="719"/>
    <tableColumn id="25" xr3:uid="{00000000-0010-0000-1100-000019000000}" name="Final Total" dataDxfId="718">
      <calculatedColumnFormula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calculatedColumnFormula>
    </tableColumn>
    <tableColumn id="24" xr3:uid="{00000000-0010-0000-1100-000018000000}" name="Avg" dataDxfId="717">
      <calculatedColumnFormula>AVERAGE(I2,M2,Q2,U2)</calculatedColumnFormula>
    </tableColumn>
    <tableColumn id="22" xr3:uid="{00000000-0010-0000-1100-000016000000}" name="FINAL SCORE" dataDxfId="716">
      <calculatedColumnFormula>Twirling_Solo_Program2891011121314151617185253545556575860616365676869[[#This Row],[Final Total]]</calculatedColumnFormula>
    </tableColumn>
    <tableColumn id="27" xr3:uid="{00000000-0010-0000-1100-00001B000000}" name="Rank" dataDxfId="715">
      <calculatedColumnFormula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calculatedColumnFormula>
    </tableColumn>
    <tableColumn id="39" xr3:uid="{00000000-0010-0000-1100-000027000000}" name="Category Type" dataDxfId="71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2000000}" name="Twirling_Solo_Program28910111213141516171852535455565758606163656768697273742" displayName="Twirling_Solo_Program28910111213141516171852535455565758606163656768697273742" ref="A1:AF8" totalsRowShown="0" headerRowDxfId="713" dataDxfId="712">
  <autoFilter ref="A1:AF8" xr:uid="{00000000-0009-0000-0100-000001000000}"/>
  <sortState xmlns:xlrd2="http://schemas.microsoft.com/office/spreadsheetml/2017/richdata2" ref="A2:AF8">
    <sortCondition ref="AE2:AE8"/>
  </sortState>
  <tableColumns count="32">
    <tableColumn id="1" xr3:uid="{00000000-0010-0000-1200-000001000000}" name="Start No." dataDxfId="711"/>
    <tableColumn id="8" xr3:uid="{00000000-0010-0000-1200-000008000000}" name="Lane" dataDxfId="710"/>
    <tableColumn id="9" xr3:uid="{00000000-0010-0000-1200-000009000000}" name="Category" dataDxfId="709"/>
    <tableColumn id="32" xr3:uid="{00000000-0010-0000-1200-000020000000}" name="Age_x000a_Division" dataDxfId="708"/>
    <tableColumn id="40" xr3:uid="{00000000-0010-0000-1200-000028000000}" name="Level" dataDxfId="707"/>
    <tableColumn id="4" xr3:uid="{00000000-0010-0000-1200-000004000000}" name="Athlete" dataDxfId="706" dataCellStyle="Normal 3"/>
    <tableColumn id="38" xr3:uid="{00000000-0010-0000-1200-000026000000}" name="Club" dataDxfId="705" dataCellStyle="Normal 3"/>
    <tableColumn id="37" xr3:uid="{00000000-0010-0000-1200-000025000000}" name="Country" dataDxfId="704" dataCellStyle="Normal 3"/>
    <tableColumn id="15" xr3:uid="{00000000-0010-0000-1200-00000F000000}" name="Judge 1_x000a_Tamara Beljak" dataDxfId="703"/>
    <tableColumn id="33" xr3:uid="{00000000-0010-0000-1200-000021000000}" name="J1 (-)" dataDxfId="702"/>
    <tableColumn id="26" xr3:uid="{00000000-0010-0000-1200-00001A000000}" name="J1 TOTAL" dataDxfId="701">
      <calculatedColumnFormula>Twirling_Solo_Program28910111213141516171852535455565758606163656768697273742[[#This Row],[Judge 1
Tamara Beljak]]-J2</calculatedColumnFormula>
    </tableColumn>
    <tableColumn id="3" xr3:uid="{00000000-0010-0000-1200-000003000000}" name="J1 (Rank)" dataDxfId="700">
      <calculatedColumnFormula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calculatedColumnFormula>
    </tableColumn>
    <tableColumn id="16" xr3:uid="{00000000-0010-0000-1200-000010000000}" name="Judge 2_x000a_Tihomir Bendelja" dataDxfId="699"/>
    <tableColumn id="34" xr3:uid="{00000000-0010-0000-1200-000022000000}" name="J2 (-)" dataDxfId="698"/>
    <tableColumn id="28" xr3:uid="{00000000-0010-0000-1200-00001C000000}" name="J2 TOTAL" dataDxfId="697">
      <calculatedColumnFormula>Twirling_Solo_Program28910111213141516171852535455565758606163656768697273742[[#This Row],[Judge 2
Tihomir Bendelja]]-Twirling_Solo_Program28910111213141516171852535455565758606163656768697273742[[#This Row],[J2 (-)]]</calculatedColumnFormula>
    </tableColumn>
    <tableColumn id="5" xr3:uid="{00000000-0010-0000-1200-000005000000}" name="J2 (Rank)" dataDxfId="696">
      <calculatedColumnFormula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calculatedColumnFormula>
    </tableColumn>
    <tableColumn id="17" xr3:uid="{00000000-0010-0000-1200-000011000000}" name="Judge 3_x000a_Barbara Novina" dataDxfId="695"/>
    <tableColumn id="35" xr3:uid="{00000000-0010-0000-1200-000023000000}" name="J3 (-)" dataDxfId="694"/>
    <tableColumn id="30" xr3:uid="{00000000-0010-0000-1200-00001E000000}" name="J3 TOTAL" dataDxfId="693">
      <calculatedColumnFormula>Twirling_Solo_Program28910111213141516171852535455565758606163656768697273742[[#This Row],[Judge 3
Barbara Novina]]-R2</calculatedColumnFormula>
    </tableColumn>
    <tableColumn id="6" xr3:uid="{00000000-0010-0000-1200-000006000000}" name="J3 (Rank)" dataDxfId="692">
      <calculatedColumnFormula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calculatedColumnFormula>
    </tableColumn>
    <tableColumn id="18" xr3:uid="{00000000-0010-0000-1200-000012000000}" name="Judge 4_x000a_Bernard Barač" dataDxfId="691"/>
    <tableColumn id="36" xr3:uid="{00000000-0010-0000-1200-000024000000}" name="J4 (-)" dataDxfId="690"/>
    <tableColumn id="31" xr3:uid="{00000000-0010-0000-1200-00001F000000}" name="J4 TOTAL" dataDxfId="689">
      <calculatedColumnFormula>Twirling_Solo_Program28910111213141516171852535455565758606163656768697273742[[#This Row],[Judge 4
Bernard Barač]]-V2</calculatedColumnFormula>
    </tableColumn>
    <tableColumn id="7" xr3:uid="{00000000-0010-0000-1200-000007000000}" name="J4 (Rank)" dataDxfId="688">
      <calculatedColumnFormula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calculatedColumnFormula>
    </tableColumn>
    <tableColumn id="20" xr3:uid="{00000000-0010-0000-1200-000014000000}" name="Total" dataDxfId="687">
      <calculatedColumnFormula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calculatedColumnFormula>
    </tableColumn>
    <tableColumn id="23" xr3:uid="{00000000-0010-0000-1200-000017000000}" name="Low" dataDxfId="686"/>
    <tableColumn id="19" xr3:uid="{00000000-0010-0000-1200-000013000000}" name="High" dataDxfId="685"/>
    <tableColumn id="25" xr3:uid="{00000000-0010-0000-1200-000019000000}" name="Final Total" dataDxfId="684">
      <calculatedColumnFormula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calculatedColumnFormula>
    </tableColumn>
    <tableColumn id="24" xr3:uid="{00000000-0010-0000-1200-000018000000}" name="Avg" dataDxfId="683">
      <calculatedColumnFormula>AVERAGE(I2,M2,Q2,U2)</calculatedColumnFormula>
    </tableColumn>
    <tableColumn id="22" xr3:uid="{00000000-0010-0000-1200-000016000000}" name="FINAL SCORE" dataDxfId="682">
      <calculatedColumnFormula>Twirling_Solo_Program28910111213141516171852535455565758606163656768697273742[[#This Row],[Final Total]]</calculatedColumnFormula>
    </tableColumn>
    <tableColumn id="27" xr3:uid="{00000000-0010-0000-1200-00001B000000}" name="Rank" dataDxfId="681">
      <calculatedColumnFormula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calculatedColumnFormula>
    </tableColumn>
    <tableColumn id="39" xr3:uid="{00000000-0010-0000-1200-000027000000}" name="Category Type" dataDxfId="68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0000000}" name="Twirling_Solo_Program28910111213141516171851" displayName="Twirling_Solo_Program28910111213141516171851" ref="A1:AF6" totalsRowShown="0" headerRowDxfId="1291" dataDxfId="1290">
  <autoFilter ref="A1:AF6" xr:uid="{00000000-0009-0000-0100-000032000000}"/>
  <sortState xmlns:xlrd2="http://schemas.microsoft.com/office/spreadsheetml/2017/richdata2" ref="A2:AF6">
    <sortCondition ref="AE2:AE6"/>
  </sortState>
  <tableColumns count="32">
    <tableColumn id="1" xr3:uid="{00000000-0010-0000-0000-000001000000}" name="Start No." dataDxfId="1289"/>
    <tableColumn id="8" xr3:uid="{00000000-0010-0000-0000-000008000000}" name="Lane" dataDxfId="1288"/>
    <tableColumn id="9" xr3:uid="{00000000-0010-0000-0000-000009000000}" name="Category" dataDxfId="1287"/>
    <tableColumn id="32" xr3:uid="{00000000-0010-0000-0000-000020000000}" name="Age_x000a_Division" dataDxfId="1286"/>
    <tableColumn id="40" xr3:uid="{00000000-0010-0000-0000-000028000000}" name="Level" dataDxfId="1285"/>
    <tableColumn id="4" xr3:uid="{00000000-0010-0000-0000-000004000000}" name="Athlete" dataDxfId="1284"/>
    <tableColumn id="38" xr3:uid="{00000000-0010-0000-0000-000026000000}" name="Club" dataDxfId="1283"/>
    <tableColumn id="37" xr3:uid="{00000000-0010-0000-0000-000025000000}" name="Country" dataDxfId="1282"/>
    <tableColumn id="15" xr3:uid="{00000000-0010-0000-0000-00000F000000}" name="Judge 1_x000a_Tamara Beljak" dataDxfId="1281"/>
    <tableColumn id="33" xr3:uid="{00000000-0010-0000-0000-000021000000}" name="J1 (-)" dataDxfId="1280"/>
    <tableColumn id="26" xr3:uid="{00000000-0010-0000-0000-00001A000000}" name="J1 TOTAL" dataDxfId="1279">
      <calculatedColumnFormula>Twirling_Solo_Program28910111213141516171851[[#This Row],[Judge 1
Tamara Beljak]]-J2</calculatedColumnFormula>
    </tableColumn>
    <tableColumn id="3" xr3:uid="{00000000-0010-0000-0000-000003000000}" name="J1 (Rank)" dataDxfId="1278">
      <calculatedColumnFormula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Row],[Category]],Twirling_Solo_Program28910111213141516171851[J1 TOTAL],"&gt;"&amp;Twirling_Solo_Program28910111213141516171851[[#This Row],[J1 TOTAL]])+1</calculatedColumnFormula>
    </tableColumn>
    <tableColumn id="16" xr3:uid="{00000000-0010-0000-0000-000010000000}" name="Judge 2_x000a_Tihomir Bendelja" dataDxfId="1277"/>
    <tableColumn id="34" xr3:uid="{00000000-0010-0000-0000-000022000000}" name="J2 (-)" dataDxfId="1276"/>
    <tableColumn id="28" xr3:uid="{00000000-0010-0000-0000-00001C000000}" name="J2 TOTAL" dataDxfId="1275">
      <calculatedColumnFormula>Twirling_Solo_Program28910111213141516171851[[#This Row],[Judge 2
Tihomir Bendelja]]-Twirling_Solo_Program28910111213141516171851[[#This Row],[J2 (-)]]</calculatedColumnFormula>
    </tableColumn>
    <tableColumn id="5" xr3:uid="{00000000-0010-0000-0000-000005000000}" name="J2 (Rank)" dataDxfId="1274">
      <calculatedColumnFormula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Row],[Category]],Twirling_Solo_Program28910111213141516171851[J2 TOTAL],"&gt;"&amp;Twirling_Solo_Program28910111213141516171851[[#This Row],[J2 TOTAL]])+1</calculatedColumnFormula>
    </tableColumn>
    <tableColumn id="17" xr3:uid="{00000000-0010-0000-0000-000011000000}" name="Judge 3_x000a_Barbara Novina" dataDxfId="1273"/>
    <tableColumn id="35" xr3:uid="{00000000-0010-0000-0000-000023000000}" name="J3 (-)" dataDxfId="1272"/>
    <tableColumn id="30" xr3:uid="{00000000-0010-0000-0000-00001E000000}" name="J3 TOTAL" dataDxfId="1271">
      <calculatedColumnFormula>Twirling_Solo_Program28910111213141516171851[[#This Row],[Judge 3
Barbara Novina]]-R2</calculatedColumnFormula>
    </tableColumn>
    <tableColumn id="6" xr3:uid="{00000000-0010-0000-0000-000006000000}" name="J3 (Rank)" dataDxfId="1270">
      <calculatedColumnFormula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Row],[Category]],Twirling_Solo_Program28910111213141516171851[J3 TOTAL],"&gt;"&amp;Twirling_Solo_Program28910111213141516171851[[#This Row],[J3 TOTAL]])+1</calculatedColumnFormula>
    </tableColumn>
    <tableColumn id="18" xr3:uid="{00000000-0010-0000-0000-000012000000}" name="Judge 4_x000a_Bernard Barač" dataDxfId="1269"/>
    <tableColumn id="36" xr3:uid="{00000000-0010-0000-0000-000024000000}" name="J4 (-)" dataDxfId="1268"/>
    <tableColumn id="31" xr3:uid="{00000000-0010-0000-0000-00001F000000}" name="J4 TOTAL" dataDxfId="1267">
      <calculatedColumnFormula>Twirling_Solo_Program28910111213141516171851[[#This Row],[Judge 4
Bernard Barač]]-V2</calculatedColumnFormula>
    </tableColumn>
    <tableColumn id="7" xr3:uid="{00000000-0010-0000-0000-000007000000}" name="J4 (Rank)" dataDxfId="1266">
      <calculatedColumnFormula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Row],[Category]],Twirling_Solo_Program28910111213141516171851[J4 TOTAL],"&gt;"&amp;Twirling_Solo_Program28910111213141516171851[[#This Row],[J4 TOTAL]])+1</calculatedColumnFormula>
    </tableColumn>
    <tableColumn id="20" xr3:uid="{00000000-0010-0000-0000-000014000000}" name="Total" dataDxfId="1265">
      <calculatedColumnFormula>SUM(Twirling_Solo_Program28910111213141516171851[[#This Row],[J1 TOTAL]]+Twirling_Solo_Program28910111213141516171851[[#This Row],[J2 TOTAL]]+Twirling_Solo_Program28910111213141516171851[[#This Row],[J3 TOTAL]]+Twirling_Solo_Program28910111213141516171851[[#This Row],[J4 TOTAL]])</calculatedColumnFormula>
    </tableColumn>
    <tableColumn id="23" xr3:uid="{00000000-0010-0000-0000-000017000000}" name="Low" dataDxfId="1264"/>
    <tableColumn id="19" xr3:uid="{00000000-0010-0000-0000-000013000000}" name="High" dataDxfId="1263"/>
    <tableColumn id="25" xr3:uid="{00000000-0010-0000-0000-000019000000}" name="Final Total" dataDxfId="1262">
      <calculatedColumnFormula>SUM(Twirling_Solo_Program28910111213141516171851[[#This Row],[Total]]-Twirling_Solo_Program28910111213141516171851[[#This Row],[Low]]-Twirling_Solo_Program28910111213141516171851[[#This Row],[High]])</calculatedColumnFormula>
    </tableColumn>
    <tableColumn id="24" xr3:uid="{00000000-0010-0000-0000-000018000000}" name="Avg" dataDxfId="1261">
      <calculatedColumnFormula>AVERAGE(I2,M2,Q2,U2)</calculatedColumnFormula>
    </tableColumn>
    <tableColumn id="22" xr3:uid="{00000000-0010-0000-0000-000016000000}" name="FINAL SCORE" dataDxfId="1260">
      <calculatedColumnFormula>Twirling_Solo_Program28910111213141516171851[[#This Row],[Final Total]]</calculatedColumnFormula>
    </tableColumn>
    <tableColumn id="27" xr3:uid="{00000000-0010-0000-0000-00001B000000}" name="Rank" dataDxfId="1259">
      <calculatedColumnFormula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Row],[Category]],Twirling_Solo_Program28910111213141516171851[FINAL SCORE],"&gt;"&amp;Twirling_Solo_Program28910111213141516171851[[#This Row],[FINAL SCORE]])+1</calculatedColumnFormula>
    </tableColumn>
    <tableColumn id="39" xr3:uid="{00000000-0010-0000-0000-000027000000}" name="Category Type" dataDxfId="125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13000000}" name="Twirling_Solo_Program289101112131415161718525354555657586061636567686970" displayName="Twirling_Solo_Program289101112131415161718525354555657586061636567686970" ref="A1:AF3" totalsRowShown="0" headerRowDxfId="679" dataDxfId="678">
  <autoFilter ref="A1:AF3" xr:uid="{00000000-0009-0000-0100-000045000000}"/>
  <tableColumns count="32">
    <tableColumn id="1" xr3:uid="{00000000-0010-0000-1300-000001000000}" name="Start No." dataDxfId="677"/>
    <tableColumn id="8" xr3:uid="{00000000-0010-0000-1300-000008000000}" name="Lane" dataDxfId="676"/>
    <tableColumn id="9" xr3:uid="{00000000-0010-0000-1300-000009000000}" name="Category" dataDxfId="675"/>
    <tableColumn id="32" xr3:uid="{00000000-0010-0000-1300-000020000000}" name="Age_x000a_Division" dataDxfId="674"/>
    <tableColumn id="40" xr3:uid="{00000000-0010-0000-1300-000028000000}" name="Level" dataDxfId="673"/>
    <tableColumn id="4" xr3:uid="{00000000-0010-0000-1300-000004000000}" name="Athlete" dataDxfId="672"/>
    <tableColumn id="38" xr3:uid="{00000000-0010-0000-1300-000026000000}" name="Club" dataDxfId="671"/>
    <tableColumn id="37" xr3:uid="{00000000-0010-0000-1300-000025000000}" name="Country" dataDxfId="670"/>
    <tableColumn id="15" xr3:uid="{00000000-0010-0000-1300-00000F000000}" name="Judge 1_x000a_Tamara Beljak" dataDxfId="669"/>
    <tableColumn id="33" xr3:uid="{00000000-0010-0000-1300-000021000000}" name="J1 (-)" dataDxfId="668"/>
    <tableColumn id="26" xr3:uid="{00000000-0010-0000-1300-00001A000000}" name="J1 TOTAL" dataDxfId="667">
      <calculatedColumnFormula>Twirling_Solo_Program289101112131415161718525354555657586061636567686970[[#This Row],[Judge 1
Tamara Beljak]]-J2</calculatedColumnFormula>
    </tableColumn>
    <tableColumn id="3" xr3:uid="{00000000-0010-0000-1300-000003000000}" name="J1 (Rank)" dataDxfId="666">
      <calculatedColumnFormula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Row],[Category]],Twirling_Solo_Program289101112131415161718525354555657586061636567686970[J1 TOTAL],"&gt;"&amp;Twirling_Solo_Program289101112131415161718525354555657586061636567686970[[#This Row],[J1 TOTAL]])+1</calculatedColumnFormula>
    </tableColumn>
    <tableColumn id="16" xr3:uid="{00000000-0010-0000-1300-000010000000}" name="Judge 2_x000a_Tihomir Bendelja" dataDxfId="665"/>
    <tableColumn id="34" xr3:uid="{00000000-0010-0000-1300-000022000000}" name="J2 (-)" dataDxfId="664"/>
    <tableColumn id="28" xr3:uid="{00000000-0010-0000-1300-00001C000000}" name="J2 TOTAL" dataDxfId="663">
      <calculatedColumnFormula>Twirling_Solo_Program289101112131415161718525354555657586061636567686970[[#This Row],[Judge 2
Tihomir Bendelja]]-Twirling_Solo_Program289101112131415161718525354555657586061636567686970[[#This Row],[J2 (-)]]</calculatedColumnFormula>
    </tableColumn>
    <tableColumn id="5" xr3:uid="{00000000-0010-0000-1300-000005000000}" name="J2 (Rank)" dataDxfId="662">
      <calculatedColumnFormula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Row],[Category]],Twirling_Solo_Program289101112131415161718525354555657586061636567686970[J2 TOTAL],"&gt;"&amp;Twirling_Solo_Program289101112131415161718525354555657586061636567686970[[#This Row],[J2 TOTAL]])+1</calculatedColumnFormula>
    </tableColumn>
    <tableColumn id="17" xr3:uid="{00000000-0010-0000-1300-000011000000}" name="Judge 3_x000a_Barbara Novina" dataDxfId="661"/>
    <tableColumn id="35" xr3:uid="{00000000-0010-0000-1300-000023000000}" name="J3 (-)" dataDxfId="660"/>
    <tableColumn id="30" xr3:uid="{00000000-0010-0000-1300-00001E000000}" name="J3 TOTAL" dataDxfId="659">
      <calculatedColumnFormula>Twirling_Solo_Program289101112131415161718525354555657586061636567686970[[#This Row],[Judge 3
Barbara Novina]]-R2</calculatedColumnFormula>
    </tableColumn>
    <tableColumn id="6" xr3:uid="{00000000-0010-0000-1300-000006000000}" name="J3 (Rank)" dataDxfId="658">
      <calculatedColumnFormula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Row],[Category]],Twirling_Solo_Program289101112131415161718525354555657586061636567686970[J3 TOTAL],"&gt;"&amp;Twirling_Solo_Program289101112131415161718525354555657586061636567686970[[#This Row],[J3 TOTAL]])+1</calculatedColumnFormula>
    </tableColumn>
    <tableColumn id="18" xr3:uid="{00000000-0010-0000-1300-000012000000}" name="Judge 4_x000a_Bernard Barač" dataDxfId="657"/>
    <tableColumn id="36" xr3:uid="{00000000-0010-0000-1300-000024000000}" name="J4 (-)" dataDxfId="656"/>
    <tableColumn id="31" xr3:uid="{00000000-0010-0000-1300-00001F000000}" name="J4 TOTAL" dataDxfId="655">
      <calculatedColumnFormula>Twirling_Solo_Program289101112131415161718525354555657586061636567686970[[#This Row],[Judge 4
Bernard Barač]]-V2</calculatedColumnFormula>
    </tableColumn>
    <tableColumn id="7" xr3:uid="{00000000-0010-0000-1300-000007000000}" name="J4 (Rank)" dataDxfId="654">
      <calculatedColumnFormula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Row],[Category]],Twirling_Solo_Program289101112131415161718525354555657586061636567686970[J4 TOTAL],"&gt;"&amp;Twirling_Solo_Program289101112131415161718525354555657586061636567686970[[#This Row],[J4 TOTAL]])+1</calculatedColumnFormula>
    </tableColumn>
    <tableColumn id="20" xr3:uid="{00000000-0010-0000-1300-000014000000}" name="Total" dataDxfId="653">
      <calculatedColumnFormula>SUM(Twirling_Solo_Program289101112131415161718525354555657586061636567686970[[#This Row],[J1 TOTAL]]+Twirling_Solo_Program289101112131415161718525354555657586061636567686970[[#This Row],[J2 TOTAL]]+Twirling_Solo_Program289101112131415161718525354555657586061636567686970[[#This Row],[J3 TOTAL]]+Twirling_Solo_Program289101112131415161718525354555657586061636567686970[[#This Row],[J4 TOTAL]])</calculatedColumnFormula>
    </tableColumn>
    <tableColumn id="23" xr3:uid="{00000000-0010-0000-1300-000017000000}" name="Low" dataDxfId="652"/>
    <tableColumn id="19" xr3:uid="{00000000-0010-0000-1300-000013000000}" name="High" dataDxfId="651"/>
    <tableColumn id="25" xr3:uid="{00000000-0010-0000-1300-000019000000}" name="Final Total" dataDxfId="650">
      <calculatedColumnFormula>SUM(Twirling_Solo_Program289101112131415161718525354555657586061636567686970[[#This Row],[Total]]-Twirling_Solo_Program289101112131415161718525354555657586061636567686970[[#This Row],[Low]]-Twirling_Solo_Program289101112131415161718525354555657586061636567686970[[#This Row],[High]])</calculatedColumnFormula>
    </tableColumn>
    <tableColumn id="24" xr3:uid="{00000000-0010-0000-1300-000018000000}" name="Avg" dataDxfId="649">
      <calculatedColumnFormula>AVERAGE(I2,M2,Q2,U2)</calculatedColumnFormula>
    </tableColumn>
    <tableColumn id="22" xr3:uid="{00000000-0010-0000-1300-000016000000}" name="FINAL SCORE" dataDxfId="648">
      <calculatedColumnFormula>Twirling_Solo_Program289101112131415161718525354555657586061636567686970[[#This Row],[Final Total]]</calculatedColumnFormula>
    </tableColumn>
    <tableColumn id="27" xr3:uid="{00000000-0010-0000-1300-00001B000000}" name="Rank" dataDxfId="647">
      <calculatedColumnFormula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Row],[Category]],Twirling_Solo_Program289101112131415161718525354555657586061636567686970[FINAL SCORE],"&gt;"&amp;Twirling_Solo_Program289101112131415161718525354555657586061636567686970[[#This Row],[FINAL SCORE]])+1</calculatedColumnFormula>
    </tableColumn>
    <tableColumn id="39" xr3:uid="{00000000-0010-0000-1300-000027000000}" name="Category Type" dataDxfId="64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15000000}" name="Twirling_Solo_Program28910111213141516171852535455565758606163656771" displayName="Twirling_Solo_Program28910111213141516171852535455565758606163656771" ref="A1:AF2" totalsRowShown="0" headerRowDxfId="645" dataDxfId="644">
  <autoFilter ref="A1:AF2" xr:uid="{00000000-0009-0000-0100-000046000000}"/>
  <tableColumns count="32">
    <tableColumn id="1" xr3:uid="{00000000-0010-0000-1500-000001000000}" name="Start No." dataDxfId="643"/>
    <tableColumn id="8" xr3:uid="{00000000-0010-0000-1500-000008000000}" name="Lane" dataDxfId="642"/>
    <tableColumn id="9" xr3:uid="{00000000-0010-0000-1500-000009000000}" name="Category" dataDxfId="641"/>
    <tableColumn id="32" xr3:uid="{00000000-0010-0000-1500-000020000000}" name="Age_x000a_Division" dataDxfId="640"/>
    <tableColumn id="40" xr3:uid="{00000000-0010-0000-1500-000028000000}" name="Level" dataDxfId="639"/>
    <tableColumn id="4" xr3:uid="{00000000-0010-0000-1500-000004000000}" name="Athlete" dataDxfId="638"/>
    <tableColumn id="38" xr3:uid="{00000000-0010-0000-1500-000026000000}" name="Club" dataDxfId="637"/>
    <tableColumn id="37" xr3:uid="{00000000-0010-0000-1500-000025000000}" name="Country" dataDxfId="636"/>
    <tableColumn id="15" xr3:uid="{00000000-0010-0000-1500-00000F000000}" name="Judge 1_x000a_Tamara Beljak" dataDxfId="635"/>
    <tableColumn id="33" xr3:uid="{00000000-0010-0000-1500-000021000000}" name="J1 (-)" dataDxfId="634"/>
    <tableColumn id="26" xr3:uid="{00000000-0010-0000-1500-00001A000000}" name="J1 TOTAL" dataDxfId="633">
      <calculatedColumnFormula>Twirling_Solo_Program28910111213141516171852535455565758606163656771[[#This Row],[Judge 1
Tamara Beljak]]-J2</calculatedColumnFormula>
    </tableColumn>
    <tableColumn id="3" xr3:uid="{00000000-0010-0000-1500-000003000000}" name="J1 (Rank)" dataDxfId="632">
      <calculatedColumnFormula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Row],[Category]],Twirling_Solo_Program28910111213141516171852535455565758606163656771[J1 TOTAL],"&gt;"&amp;Twirling_Solo_Program28910111213141516171852535455565758606163656771[[#This Row],[J1 TOTAL]])+1</calculatedColumnFormula>
    </tableColumn>
    <tableColumn id="16" xr3:uid="{00000000-0010-0000-1500-000010000000}" name="Judge 2_x000a_Tihomir Bendelja" dataDxfId="631"/>
    <tableColumn id="34" xr3:uid="{00000000-0010-0000-1500-000022000000}" name="J2 (-)" dataDxfId="630"/>
    <tableColumn id="28" xr3:uid="{00000000-0010-0000-1500-00001C000000}" name="J2 TOTAL" dataDxfId="629">
      <calculatedColumnFormula>Twirling_Solo_Program28910111213141516171852535455565758606163656771[[#This Row],[Judge 2
Tihomir Bendelja]]-Twirling_Solo_Program28910111213141516171852535455565758606163656771[[#This Row],[J2 (-)]]</calculatedColumnFormula>
    </tableColumn>
    <tableColumn id="5" xr3:uid="{00000000-0010-0000-1500-000005000000}" name="J2 (Rank)" dataDxfId="628">
      <calculatedColumnFormula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Row],[Category]],Twirling_Solo_Program28910111213141516171852535455565758606163656771[J2 TOTAL],"&gt;"&amp;Twirling_Solo_Program28910111213141516171852535455565758606163656771[[#This Row],[J2 TOTAL]])+1</calculatedColumnFormula>
    </tableColumn>
    <tableColumn id="17" xr3:uid="{00000000-0010-0000-1500-000011000000}" name="Judge 3_x000a_Barbara Novina" dataDxfId="627"/>
    <tableColumn id="35" xr3:uid="{00000000-0010-0000-1500-000023000000}" name="J3 (-)" dataDxfId="626"/>
    <tableColumn id="30" xr3:uid="{00000000-0010-0000-1500-00001E000000}" name="J3 TOTAL" dataDxfId="625">
      <calculatedColumnFormula>Twirling_Solo_Program28910111213141516171852535455565758606163656771[[#This Row],[Judge 3
Barbara Novina]]-R2</calculatedColumnFormula>
    </tableColumn>
    <tableColumn id="6" xr3:uid="{00000000-0010-0000-1500-000006000000}" name="J3 (Rank)" dataDxfId="624">
      <calculatedColumnFormula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Row],[Category]],Twirling_Solo_Program28910111213141516171852535455565758606163656771[J3 TOTAL],"&gt;"&amp;Twirling_Solo_Program28910111213141516171852535455565758606163656771[[#This Row],[J3 TOTAL]])+1</calculatedColumnFormula>
    </tableColumn>
    <tableColumn id="18" xr3:uid="{00000000-0010-0000-1500-000012000000}" name="Judge 4_x000a_Bernard Barač" dataDxfId="623"/>
    <tableColumn id="36" xr3:uid="{00000000-0010-0000-1500-000024000000}" name="J4 (-)" dataDxfId="622"/>
    <tableColumn id="31" xr3:uid="{00000000-0010-0000-1500-00001F000000}" name="J4 TOTAL" dataDxfId="621">
      <calculatedColumnFormula>Twirling_Solo_Program28910111213141516171852535455565758606163656771[[#This Row],[Judge 4
Bernard Barač]]-V2</calculatedColumnFormula>
    </tableColumn>
    <tableColumn id="7" xr3:uid="{00000000-0010-0000-1500-000007000000}" name="J4 (Rank)" dataDxfId="620">
      <calculatedColumnFormula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Row],[Category]],Twirling_Solo_Program28910111213141516171852535455565758606163656771[J4 TOTAL],"&gt;"&amp;Twirling_Solo_Program28910111213141516171852535455565758606163656771[[#This Row],[J4 TOTAL]])+1</calculatedColumnFormula>
    </tableColumn>
    <tableColumn id="20" xr3:uid="{00000000-0010-0000-1500-000014000000}" name="Total" dataDxfId="619">
      <calculatedColumnFormula>SUM(Twirling_Solo_Program28910111213141516171852535455565758606163656771[[#This Row],[J1 TOTAL]]+Twirling_Solo_Program28910111213141516171852535455565758606163656771[[#This Row],[J2 TOTAL]]+Twirling_Solo_Program28910111213141516171852535455565758606163656771[[#This Row],[J3 TOTAL]]+Twirling_Solo_Program28910111213141516171852535455565758606163656771[[#This Row],[J4 TOTAL]])</calculatedColumnFormula>
    </tableColumn>
    <tableColumn id="23" xr3:uid="{00000000-0010-0000-1500-000017000000}" name="Low" dataDxfId="618"/>
    <tableColumn id="19" xr3:uid="{00000000-0010-0000-1500-000013000000}" name="High" dataDxfId="617"/>
    <tableColumn id="25" xr3:uid="{00000000-0010-0000-1500-000019000000}" name="Final Total" dataDxfId="616">
      <calculatedColumnFormula>SUM(Twirling_Solo_Program28910111213141516171852535455565758606163656771[[#This Row],[Total]]-Twirling_Solo_Program28910111213141516171852535455565758606163656771[[#This Row],[Low]]-Twirling_Solo_Program28910111213141516171852535455565758606163656771[[#This Row],[High]])</calculatedColumnFormula>
    </tableColumn>
    <tableColumn id="24" xr3:uid="{00000000-0010-0000-1500-000018000000}" name="Avg" dataDxfId="615">
      <calculatedColumnFormula>AVERAGE(I2,M2,Q2,U2)</calculatedColumnFormula>
    </tableColumn>
    <tableColumn id="22" xr3:uid="{00000000-0010-0000-1500-000016000000}" name="FINAL SCORE" dataDxfId="614">
      <calculatedColumnFormula>Twirling_Solo_Program28910111213141516171852535455565758606163656771[[#This Row],[Final Total]]</calculatedColumnFormula>
    </tableColumn>
    <tableColumn id="27" xr3:uid="{00000000-0010-0000-1500-00001B000000}" name="Rank" dataDxfId="613">
      <calculatedColumnFormula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Row],[Category]],Twirling_Solo_Program28910111213141516171852535455565758606163656771[FINAL SCORE],"&gt;"&amp;Twirling_Solo_Program28910111213141516171852535455565758606163656771[[#This Row],[FINAL SCORE]])+1</calculatedColumnFormula>
    </tableColumn>
    <tableColumn id="39" xr3:uid="{00000000-0010-0000-1500-000027000000}" name="Category Type" dataDxfId="61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16000000}" name="Twirling_Solo_Program289101112131415161718525354555657586061636567686972" displayName="Twirling_Solo_Program289101112131415161718525354555657586061636567686972" ref="A1:AF10" totalsRowShown="0" headerRowDxfId="611" dataDxfId="610">
  <autoFilter ref="A1:AF10" xr:uid="{00000000-0009-0000-0100-000047000000}"/>
  <sortState xmlns:xlrd2="http://schemas.microsoft.com/office/spreadsheetml/2017/richdata2" ref="A2:AF10">
    <sortCondition ref="AE2:AE10"/>
  </sortState>
  <tableColumns count="32">
    <tableColumn id="1" xr3:uid="{00000000-0010-0000-1600-000001000000}" name="Start No." dataDxfId="609"/>
    <tableColumn id="8" xr3:uid="{00000000-0010-0000-1600-000008000000}" name="Lane" dataDxfId="608"/>
    <tableColumn id="9" xr3:uid="{00000000-0010-0000-1600-000009000000}" name="Category" dataDxfId="607"/>
    <tableColumn id="32" xr3:uid="{00000000-0010-0000-1600-000020000000}" name="Age_x000a_Division" dataDxfId="606"/>
    <tableColumn id="40" xr3:uid="{00000000-0010-0000-1600-000028000000}" name="Level" dataDxfId="605"/>
    <tableColumn id="4" xr3:uid="{00000000-0010-0000-1600-000004000000}" name="Athlete" dataDxfId="604"/>
    <tableColumn id="38" xr3:uid="{00000000-0010-0000-1600-000026000000}" name="Club" dataDxfId="603"/>
    <tableColumn id="37" xr3:uid="{00000000-0010-0000-1600-000025000000}" name="Country" dataDxfId="602"/>
    <tableColumn id="15" xr3:uid="{00000000-0010-0000-1600-00000F000000}" name="Judge 1_x000a_Tamara Beljak" dataDxfId="601"/>
    <tableColumn id="33" xr3:uid="{00000000-0010-0000-1600-000021000000}" name="J1 (-)" dataDxfId="600"/>
    <tableColumn id="26" xr3:uid="{00000000-0010-0000-1600-00001A000000}" name="J1 TOTAL" dataDxfId="599">
      <calculatedColumnFormula>Twirling_Solo_Program289101112131415161718525354555657586061636567686972[[#This Row],[Judge 1
Tamara Beljak]]-J2</calculatedColumnFormula>
    </tableColumn>
    <tableColumn id="3" xr3:uid="{00000000-0010-0000-1600-000003000000}" name="J1 (Rank)" dataDxfId="598">
      <calculatedColumnFormula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calculatedColumnFormula>
    </tableColumn>
    <tableColumn id="16" xr3:uid="{00000000-0010-0000-1600-000010000000}" name="Judge 2_x000a_Tihomir Bendelja" dataDxfId="597"/>
    <tableColumn id="34" xr3:uid="{00000000-0010-0000-1600-000022000000}" name="J2 (-)" dataDxfId="596"/>
    <tableColumn id="28" xr3:uid="{00000000-0010-0000-1600-00001C000000}" name="J2 TOTAL" dataDxfId="595">
      <calculatedColumnFormula>Twirling_Solo_Program289101112131415161718525354555657586061636567686972[[#This Row],[Judge 2
Tihomir Bendelja]]-Twirling_Solo_Program289101112131415161718525354555657586061636567686972[[#This Row],[J2 (-)]]</calculatedColumnFormula>
    </tableColumn>
    <tableColumn id="5" xr3:uid="{00000000-0010-0000-1600-000005000000}" name="J2 (Rank)" dataDxfId="594">
      <calculatedColumnFormula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calculatedColumnFormula>
    </tableColumn>
    <tableColumn id="17" xr3:uid="{00000000-0010-0000-1600-000011000000}" name="Judge 3_x000a_Barbara Novina" dataDxfId="593"/>
    <tableColumn id="35" xr3:uid="{00000000-0010-0000-1600-000023000000}" name="J3 (-)" dataDxfId="592"/>
    <tableColumn id="30" xr3:uid="{00000000-0010-0000-1600-00001E000000}" name="J3 TOTAL" dataDxfId="591">
      <calculatedColumnFormula>Twirling_Solo_Program289101112131415161718525354555657586061636567686972[[#This Row],[Judge 3
Barbara Novina]]-R2</calculatedColumnFormula>
    </tableColumn>
    <tableColumn id="6" xr3:uid="{00000000-0010-0000-1600-000006000000}" name="J3 (Rank)" dataDxfId="590">
      <calculatedColumnFormula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calculatedColumnFormula>
    </tableColumn>
    <tableColumn id="18" xr3:uid="{00000000-0010-0000-1600-000012000000}" name="Judge 4_x000a_Bernard Barač" dataDxfId="589"/>
    <tableColumn id="36" xr3:uid="{00000000-0010-0000-1600-000024000000}" name="J4 (-)" dataDxfId="588"/>
    <tableColumn id="31" xr3:uid="{00000000-0010-0000-1600-00001F000000}" name="J4 TOTAL" dataDxfId="587">
      <calculatedColumnFormula>Twirling_Solo_Program289101112131415161718525354555657586061636567686972[[#This Row],[Judge 4
Bernard Barač]]-V2</calculatedColumnFormula>
    </tableColumn>
    <tableColumn id="7" xr3:uid="{00000000-0010-0000-1600-000007000000}" name="J4 (Rank)" dataDxfId="586">
      <calculatedColumnFormula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calculatedColumnFormula>
    </tableColumn>
    <tableColumn id="20" xr3:uid="{00000000-0010-0000-1600-000014000000}" name="Total" dataDxfId="585">
      <calculatedColumnFormula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calculatedColumnFormula>
    </tableColumn>
    <tableColumn id="23" xr3:uid="{00000000-0010-0000-1600-000017000000}" name="Low" dataDxfId="584"/>
    <tableColumn id="19" xr3:uid="{00000000-0010-0000-1600-000013000000}" name="High" dataDxfId="583"/>
    <tableColumn id="25" xr3:uid="{00000000-0010-0000-1600-000019000000}" name="Final Total" dataDxfId="582">
      <calculatedColumnFormula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calculatedColumnFormula>
    </tableColumn>
    <tableColumn id="24" xr3:uid="{00000000-0010-0000-1600-000018000000}" name="Avg" dataDxfId="581">
      <calculatedColumnFormula>AVERAGE(I2,M2,Q2,U2)</calculatedColumnFormula>
    </tableColumn>
    <tableColumn id="22" xr3:uid="{00000000-0010-0000-1600-000016000000}" name="FINAL SCORE" dataDxfId="580">
      <calculatedColumnFormula>Twirling_Solo_Program289101112131415161718525354555657586061636567686972[[#This Row],[Final Total]]</calculatedColumnFormula>
    </tableColumn>
    <tableColumn id="27" xr3:uid="{00000000-0010-0000-1600-00001B000000}" name="Rank" dataDxfId="579">
      <calculatedColumnFormula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calculatedColumnFormula>
    </tableColumn>
    <tableColumn id="39" xr3:uid="{00000000-0010-0000-1600-000027000000}" name="Category Type" dataDxfId="57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14000000}" name="Twirling_Solo_Program289101112131415161718525354555657586061636567" displayName="Twirling_Solo_Program289101112131415161718525354555657586061636567" ref="A1:AF5" totalsRowShown="0" headerRowDxfId="577" dataDxfId="576">
  <autoFilter ref="A1:AF5" xr:uid="{00000000-0009-0000-0100-000042000000}"/>
  <sortState xmlns:xlrd2="http://schemas.microsoft.com/office/spreadsheetml/2017/richdata2" ref="A2:AF5">
    <sortCondition ref="AE2:AE5"/>
  </sortState>
  <tableColumns count="32">
    <tableColumn id="1" xr3:uid="{00000000-0010-0000-1400-000001000000}" name="Start No." dataDxfId="575"/>
    <tableColumn id="8" xr3:uid="{00000000-0010-0000-1400-000008000000}" name="Lane" dataDxfId="574"/>
    <tableColumn id="9" xr3:uid="{00000000-0010-0000-1400-000009000000}" name="Category" dataDxfId="573"/>
    <tableColumn id="32" xr3:uid="{00000000-0010-0000-1400-000020000000}" name="Age_x000a_Division" dataDxfId="572"/>
    <tableColumn id="40" xr3:uid="{00000000-0010-0000-1400-000028000000}" name="Level" dataDxfId="571"/>
    <tableColumn id="4" xr3:uid="{00000000-0010-0000-1400-000004000000}" name="Athlete" dataDxfId="570"/>
    <tableColumn id="38" xr3:uid="{00000000-0010-0000-1400-000026000000}" name="Club" dataDxfId="569"/>
    <tableColumn id="37" xr3:uid="{00000000-0010-0000-1400-000025000000}" name="Country" dataDxfId="568"/>
    <tableColumn id="15" xr3:uid="{00000000-0010-0000-1400-00000F000000}" name="Judge 1_x000a_Tamara Beljak" dataDxfId="567"/>
    <tableColumn id="33" xr3:uid="{00000000-0010-0000-1400-000021000000}" name="J1 (-)" dataDxfId="566"/>
    <tableColumn id="26" xr3:uid="{00000000-0010-0000-1400-00001A000000}" name="J1 TOTAL" dataDxfId="565">
      <calculatedColumnFormula>Twirling_Solo_Program289101112131415161718525354555657586061636567[[#This Row],[Judge 1
Tamara Beljak]]-J2</calculatedColumnFormula>
    </tableColumn>
    <tableColumn id="3" xr3:uid="{00000000-0010-0000-1400-000003000000}" name="J1 (Rank)" dataDxfId="564">
      <calculatedColumnFormula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Row],[Category]],Twirling_Solo_Program289101112131415161718525354555657586061636567[J1 TOTAL],"&gt;"&amp;Twirling_Solo_Program289101112131415161718525354555657586061636567[[#This Row],[J1 TOTAL]])+1</calculatedColumnFormula>
    </tableColumn>
    <tableColumn id="16" xr3:uid="{00000000-0010-0000-1400-000010000000}" name="Judge 2_x000a_Tihomir Bendelja" dataDxfId="563"/>
    <tableColumn id="34" xr3:uid="{00000000-0010-0000-1400-000022000000}" name="J2 (-)" dataDxfId="562"/>
    <tableColumn id="28" xr3:uid="{00000000-0010-0000-1400-00001C000000}" name="J2 TOTAL" dataDxfId="561">
      <calculatedColumnFormula>Twirling_Solo_Program289101112131415161718525354555657586061636567[[#This Row],[Judge 2
Tihomir Bendelja]]-Twirling_Solo_Program289101112131415161718525354555657586061636567[[#This Row],[J2 (-)]]</calculatedColumnFormula>
    </tableColumn>
    <tableColumn id="5" xr3:uid="{00000000-0010-0000-1400-000005000000}" name="J2 (Rank)" dataDxfId="560">
      <calculatedColumnFormula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Row],[Category]],Twirling_Solo_Program289101112131415161718525354555657586061636567[J2 TOTAL],"&gt;"&amp;Twirling_Solo_Program289101112131415161718525354555657586061636567[[#This Row],[J2 TOTAL]])+1</calculatedColumnFormula>
    </tableColumn>
    <tableColumn id="17" xr3:uid="{00000000-0010-0000-1400-000011000000}" name="Judge 3_x000a_Barbara Novina" dataDxfId="559"/>
    <tableColumn id="35" xr3:uid="{00000000-0010-0000-1400-000023000000}" name="J3 (-)" dataDxfId="558"/>
    <tableColumn id="30" xr3:uid="{00000000-0010-0000-1400-00001E000000}" name="J3 TOTAL" dataDxfId="557">
      <calculatedColumnFormula>Twirling_Solo_Program289101112131415161718525354555657586061636567[[#This Row],[Judge 3
Barbara Novina]]-R2</calculatedColumnFormula>
    </tableColumn>
    <tableColumn id="6" xr3:uid="{00000000-0010-0000-1400-000006000000}" name="J3 (Rank)" dataDxfId="556">
      <calculatedColumnFormula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Row],[Category]],Twirling_Solo_Program289101112131415161718525354555657586061636567[J3 TOTAL],"&gt;"&amp;Twirling_Solo_Program289101112131415161718525354555657586061636567[[#This Row],[J3 TOTAL]])+1</calculatedColumnFormula>
    </tableColumn>
    <tableColumn id="18" xr3:uid="{00000000-0010-0000-1400-000012000000}" name="Judge 4_x000a_Bernard Barač" dataDxfId="555"/>
    <tableColumn id="36" xr3:uid="{00000000-0010-0000-1400-000024000000}" name="J4 (-)" dataDxfId="554"/>
    <tableColumn id="31" xr3:uid="{00000000-0010-0000-1400-00001F000000}" name="J4 TOTAL" dataDxfId="553">
      <calculatedColumnFormula>Twirling_Solo_Program289101112131415161718525354555657586061636567[[#This Row],[Judge 4
Bernard Barač]]-V2</calculatedColumnFormula>
    </tableColumn>
    <tableColumn id="7" xr3:uid="{00000000-0010-0000-1400-000007000000}" name="J4 (Rank)" dataDxfId="552">
      <calculatedColumnFormula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Row],[Category]],Twirling_Solo_Program289101112131415161718525354555657586061636567[J4 TOTAL],"&gt;"&amp;Twirling_Solo_Program289101112131415161718525354555657586061636567[[#This Row],[J4 TOTAL]])+1</calculatedColumnFormula>
    </tableColumn>
    <tableColumn id="20" xr3:uid="{00000000-0010-0000-1400-000014000000}" name="Total" dataDxfId="551">
      <calculatedColumnFormula>SUM(Twirling_Solo_Program289101112131415161718525354555657586061636567[[#This Row],[J1 TOTAL]]+Twirling_Solo_Program289101112131415161718525354555657586061636567[[#This Row],[J2 TOTAL]]+Twirling_Solo_Program289101112131415161718525354555657586061636567[[#This Row],[J3 TOTAL]]+Twirling_Solo_Program289101112131415161718525354555657586061636567[[#This Row],[J4 TOTAL]])</calculatedColumnFormula>
    </tableColumn>
    <tableColumn id="23" xr3:uid="{00000000-0010-0000-1400-000017000000}" name="Low" dataDxfId="550"/>
    <tableColumn id="19" xr3:uid="{00000000-0010-0000-1400-000013000000}" name="High" dataDxfId="549"/>
    <tableColumn id="25" xr3:uid="{00000000-0010-0000-1400-000019000000}" name="Final Total" dataDxfId="548">
      <calculatedColumnFormula>SUM(Twirling_Solo_Program289101112131415161718525354555657586061636567[[#This Row],[Total]]-Twirling_Solo_Program289101112131415161718525354555657586061636567[[#This Row],[Low]]-Twirling_Solo_Program289101112131415161718525354555657586061636567[[#This Row],[High]])</calculatedColumnFormula>
    </tableColumn>
    <tableColumn id="24" xr3:uid="{00000000-0010-0000-1400-000018000000}" name="Avg" dataDxfId="547">
      <calculatedColumnFormula>AVERAGE(I2,M2,Q2,U2)</calculatedColumnFormula>
    </tableColumn>
    <tableColumn id="22" xr3:uid="{00000000-0010-0000-1400-000016000000}" name="FINAL SCORE" dataDxfId="546">
      <calculatedColumnFormula>Twirling_Solo_Program289101112131415161718525354555657586061636567[[#This Row],[Final Total]]</calculatedColumnFormula>
    </tableColumn>
    <tableColumn id="27" xr3:uid="{00000000-0010-0000-1400-00001B000000}" name="Rank" dataDxfId="545">
      <calculatedColumnFormula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Row],[Category]],Twirling_Solo_Program289101112131415161718525354555657586061636567[FINAL SCORE],"&gt;"&amp;Twirling_Solo_Program289101112131415161718525354555657586061636567[[#This Row],[FINAL SCORE]])+1</calculatedColumnFormula>
    </tableColumn>
    <tableColumn id="39" xr3:uid="{00000000-0010-0000-1400-000027000000}" name="Category Type" dataDxfId="54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17000000}" name="Twirling_Solo_Program28910111213141516171852535455565758606163656768697273" displayName="Twirling_Solo_Program28910111213141516171852535455565758606163656768697273" ref="A1:AF3" totalsRowShown="0" headerRowDxfId="543" dataDxfId="542">
  <autoFilter ref="A1:AF3" xr:uid="{00000000-0009-0000-0100-000048000000}"/>
  <tableColumns count="32">
    <tableColumn id="1" xr3:uid="{00000000-0010-0000-1700-000001000000}" name="Start No." dataDxfId="541"/>
    <tableColumn id="8" xr3:uid="{00000000-0010-0000-1700-000008000000}" name="Lane" dataDxfId="540"/>
    <tableColumn id="9" xr3:uid="{00000000-0010-0000-1700-000009000000}" name="Category" dataDxfId="539"/>
    <tableColumn id="32" xr3:uid="{00000000-0010-0000-1700-000020000000}" name="Age_x000a_Division" dataDxfId="538"/>
    <tableColumn id="40" xr3:uid="{00000000-0010-0000-1700-000028000000}" name="Level" dataDxfId="537"/>
    <tableColumn id="4" xr3:uid="{00000000-0010-0000-1700-000004000000}" name="Athlete" dataDxfId="536"/>
    <tableColumn id="38" xr3:uid="{00000000-0010-0000-1700-000026000000}" name="Club" dataDxfId="535"/>
    <tableColumn id="37" xr3:uid="{00000000-0010-0000-1700-000025000000}" name="Country" dataDxfId="534"/>
    <tableColumn id="15" xr3:uid="{00000000-0010-0000-1700-00000F000000}" name="Judge 1_x000a_Tamara Beljak" dataDxfId="533"/>
    <tableColumn id="33" xr3:uid="{00000000-0010-0000-1700-000021000000}" name="J1 (-)" dataDxfId="532"/>
    <tableColumn id="26" xr3:uid="{00000000-0010-0000-1700-00001A000000}" name="J1 TOTAL" dataDxfId="531">
      <calculatedColumnFormula>Twirling_Solo_Program28910111213141516171852535455565758606163656768697273[[#This Row],[Judge 1
Tamara Beljak]]-J2</calculatedColumnFormula>
    </tableColumn>
    <tableColumn id="3" xr3:uid="{00000000-0010-0000-1700-000003000000}" name="J1 (Rank)" dataDxfId="530">
      <calculatedColumnFormula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Row],[Category]],Twirling_Solo_Program28910111213141516171852535455565758606163656768697273[J1 TOTAL],"&gt;"&amp;Twirling_Solo_Program28910111213141516171852535455565758606163656768697273[[#This Row],[J1 TOTAL]])+1</calculatedColumnFormula>
    </tableColumn>
    <tableColumn id="16" xr3:uid="{00000000-0010-0000-1700-000010000000}" name="Judge 2_x000a_Tihomir Bendelja" dataDxfId="529"/>
    <tableColumn id="34" xr3:uid="{00000000-0010-0000-1700-000022000000}" name="J2 (-)" dataDxfId="528"/>
    <tableColumn id="28" xr3:uid="{00000000-0010-0000-1700-00001C000000}" name="J2 TOTAL" dataDxfId="527">
      <calculatedColumnFormula>Twirling_Solo_Program28910111213141516171852535455565758606163656768697273[[#This Row],[Judge 2
Tihomir Bendelja]]-Twirling_Solo_Program28910111213141516171852535455565758606163656768697273[[#This Row],[J2 (-)]]</calculatedColumnFormula>
    </tableColumn>
    <tableColumn id="5" xr3:uid="{00000000-0010-0000-1700-000005000000}" name="J2 (Rank)" dataDxfId="526">
      <calculatedColumnFormula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Row],[Category]],Twirling_Solo_Program28910111213141516171852535455565758606163656768697273[J2 TOTAL],"&gt;"&amp;Twirling_Solo_Program28910111213141516171852535455565758606163656768697273[[#This Row],[J2 TOTAL]])+1</calculatedColumnFormula>
    </tableColumn>
    <tableColumn id="17" xr3:uid="{00000000-0010-0000-1700-000011000000}" name="Judge 3_x000a_Barbara Novina" dataDxfId="525"/>
    <tableColumn id="35" xr3:uid="{00000000-0010-0000-1700-000023000000}" name="J3 (-)" dataDxfId="524"/>
    <tableColumn id="30" xr3:uid="{00000000-0010-0000-1700-00001E000000}" name="J3 TOTAL" dataDxfId="523">
      <calculatedColumnFormula>Twirling_Solo_Program28910111213141516171852535455565758606163656768697273[[#This Row],[Judge 3
Barbara Novina]]-R2</calculatedColumnFormula>
    </tableColumn>
    <tableColumn id="6" xr3:uid="{00000000-0010-0000-1700-000006000000}" name="J3 (Rank)" dataDxfId="522">
      <calculatedColumnFormula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Row],[Category]],Twirling_Solo_Program28910111213141516171852535455565758606163656768697273[J3 TOTAL],"&gt;"&amp;Twirling_Solo_Program28910111213141516171852535455565758606163656768697273[[#This Row],[J3 TOTAL]])+1</calculatedColumnFormula>
    </tableColumn>
    <tableColumn id="18" xr3:uid="{00000000-0010-0000-1700-000012000000}" name="Judge 4_x000a_Bernard Barač" dataDxfId="521"/>
    <tableColumn id="36" xr3:uid="{00000000-0010-0000-1700-000024000000}" name="J4 (-)" dataDxfId="520"/>
    <tableColumn id="31" xr3:uid="{00000000-0010-0000-1700-00001F000000}" name="J4 TOTAL" dataDxfId="519">
      <calculatedColumnFormula>Twirling_Solo_Program28910111213141516171852535455565758606163656768697273[[#This Row],[Judge 4
Bernard Barač]]-V2</calculatedColumnFormula>
    </tableColumn>
    <tableColumn id="7" xr3:uid="{00000000-0010-0000-1700-000007000000}" name="J4 (Rank)" dataDxfId="518">
      <calculatedColumnFormula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Row],[Category]],Twirling_Solo_Program28910111213141516171852535455565758606163656768697273[J4 TOTAL],"&gt;"&amp;Twirling_Solo_Program28910111213141516171852535455565758606163656768697273[[#This Row],[J4 TOTAL]])+1</calculatedColumnFormula>
    </tableColumn>
    <tableColumn id="20" xr3:uid="{00000000-0010-0000-1700-000014000000}" name="Total" dataDxfId="517">
      <calculatedColumnFormula>SUM(Twirling_Solo_Program28910111213141516171852535455565758606163656768697273[[#This Row],[J1 TOTAL]]+Twirling_Solo_Program28910111213141516171852535455565758606163656768697273[[#This Row],[J2 TOTAL]]+Twirling_Solo_Program28910111213141516171852535455565758606163656768697273[[#This Row],[J3 TOTAL]]+Twirling_Solo_Program28910111213141516171852535455565758606163656768697273[[#This Row],[J4 TOTAL]])</calculatedColumnFormula>
    </tableColumn>
    <tableColumn id="23" xr3:uid="{00000000-0010-0000-1700-000017000000}" name="Low" dataDxfId="516"/>
    <tableColumn id="19" xr3:uid="{00000000-0010-0000-1700-000013000000}" name="High" dataDxfId="515"/>
    <tableColumn id="25" xr3:uid="{00000000-0010-0000-1700-000019000000}" name="Final Total" dataDxfId="514">
      <calculatedColumnFormula>SUM(Twirling_Solo_Program28910111213141516171852535455565758606163656768697273[[#This Row],[Total]]-Twirling_Solo_Program28910111213141516171852535455565758606163656768697273[[#This Row],[Low]]-Twirling_Solo_Program28910111213141516171852535455565758606163656768697273[[#This Row],[High]])</calculatedColumnFormula>
    </tableColumn>
    <tableColumn id="24" xr3:uid="{00000000-0010-0000-1700-000018000000}" name="Avg" dataDxfId="513">
      <calculatedColumnFormula>AVERAGE(I2,M2,Q2,U2)</calculatedColumnFormula>
    </tableColumn>
    <tableColumn id="22" xr3:uid="{00000000-0010-0000-1700-000016000000}" name="FINAL SCORE" dataDxfId="512">
      <calculatedColumnFormula>Twirling_Solo_Program28910111213141516171852535455565758606163656768697273[[#This Row],[Final Total]]</calculatedColumnFormula>
    </tableColumn>
    <tableColumn id="27" xr3:uid="{00000000-0010-0000-1700-00001B000000}" name="Rank" dataDxfId="511">
      <calculatedColumnFormula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Row],[Category]],Twirling_Solo_Program28910111213141516171852535455565758606163656768697273[FINAL SCORE],"&gt;"&amp;Twirling_Solo_Program28910111213141516171852535455565758606163656768697273[[#This Row],[FINAL SCORE]])+1</calculatedColumnFormula>
    </tableColumn>
    <tableColumn id="39" xr3:uid="{00000000-0010-0000-1700-000027000000}" name="Category Type" dataDxfId="51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1A000000}" name="Twirling_Solo_Program28910111213141516171852535455565758606163656768697273747576" displayName="Twirling_Solo_Program28910111213141516171852535455565758606163656768697273747576" ref="A1:AF2" totalsRowShown="0" headerRowDxfId="509" dataDxfId="508">
  <autoFilter ref="A1:AF2" xr:uid="{00000000-0009-0000-0100-00004B000000}"/>
  <tableColumns count="32">
    <tableColumn id="1" xr3:uid="{00000000-0010-0000-1A00-000001000000}" name="Start No." dataDxfId="507"/>
    <tableColumn id="8" xr3:uid="{00000000-0010-0000-1A00-000008000000}" name="Lane" dataDxfId="506"/>
    <tableColumn id="9" xr3:uid="{00000000-0010-0000-1A00-000009000000}" name="Category" dataDxfId="505"/>
    <tableColumn id="32" xr3:uid="{00000000-0010-0000-1A00-000020000000}" name="Age_x000a_Division" dataDxfId="504"/>
    <tableColumn id="40" xr3:uid="{00000000-0010-0000-1A00-000028000000}" name="Level" dataDxfId="503"/>
    <tableColumn id="4" xr3:uid="{00000000-0010-0000-1A00-000004000000}" name="Athlete" dataDxfId="502"/>
    <tableColumn id="38" xr3:uid="{00000000-0010-0000-1A00-000026000000}" name="Club" dataDxfId="501"/>
    <tableColumn id="37" xr3:uid="{00000000-0010-0000-1A00-000025000000}" name="Country" dataDxfId="500"/>
    <tableColumn id="15" xr3:uid="{00000000-0010-0000-1A00-00000F000000}" name="Judge 1_x000a_Tamara Beljak" dataDxfId="499"/>
    <tableColumn id="33" xr3:uid="{00000000-0010-0000-1A00-000021000000}" name="J1 (-)" dataDxfId="498"/>
    <tableColumn id="26" xr3:uid="{00000000-0010-0000-1A00-00001A000000}" name="J1 TOTAL" dataDxfId="497">
      <calculatedColumnFormula>Twirling_Solo_Program28910111213141516171852535455565758606163656768697273747576[[#This Row],[Judge 1
Tamara Beljak]]-J2</calculatedColumnFormula>
    </tableColumn>
    <tableColumn id="3" xr3:uid="{00000000-0010-0000-1A00-000003000000}" name="J1 (Rank)" dataDxfId="496">
      <calculatedColumnFormula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Row],[Category]],Twirling_Solo_Program28910111213141516171852535455565758606163656768697273747576[J1 TOTAL],"&gt;"&amp;Twirling_Solo_Program28910111213141516171852535455565758606163656768697273747576[[#This Row],[J1 TOTAL]])+1</calculatedColumnFormula>
    </tableColumn>
    <tableColumn id="16" xr3:uid="{00000000-0010-0000-1A00-000010000000}" name="Judge 2_x000a_Tihomir Bendelja" dataDxfId="495"/>
    <tableColumn id="34" xr3:uid="{00000000-0010-0000-1A00-000022000000}" name="J2 (-)" dataDxfId="494"/>
    <tableColumn id="28" xr3:uid="{00000000-0010-0000-1A00-00001C000000}" name="J2 TOTAL" dataDxfId="493">
      <calculatedColumnFormula>Twirling_Solo_Program28910111213141516171852535455565758606163656768697273747576[[#This Row],[Judge 2
Tihomir Bendelja]]-Twirling_Solo_Program28910111213141516171852535455565758606163656768697273747576[[#This Row],[J2 (-)]]</calculatedColumnFormula>
    </tableColumn>
    <tableColumn id="5" xr3:uid="{00000000-0010-0000-1A00-000005000000}" name="J2 (Rank)" dataDxfId="492">
      <calculatedColumnFormula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Row],[Category]],Twirling_Solo_Program28910111213141516171852535455565758606163656768697273747576[J2 TOTAL],"&gt;"&amp;Twirling_Solo_Program28910111213141516171852535455565758606163656768697273747576[[#This Row],[J2 TOTAL]])+1</calculatedColumnFormula>
    </tableColumn>
    <tableColumn id="17" xr3:uid="{00000000-0010-0000-1A00-000011000000}" name="Judge 3_x000a_Barbara Novina" dataDxfId="491"/>
    <tableColumn id="35" xr3:uid="{00000000-0010-0000-1A00-000023000000}" name="J3 (-)" dataDxfId="490"/>
    <tableColumn id="30" xr3:uid="{00000000-0010-0000-1A00-00001E000000}" name="J3 TOTAL" dataDxfId="489">
      <calculatedColumnFormula>Twirling_Solo_Program28910111213141516171852535455565758606163656768697273747576[[#This Row],[Judge 3
Barbara Novina]]-R2</calculatedColumnFormula>
    </tableColumn>
    <tableColumn id="6" xr3:uid="{00000000-0010-0000-1A00-000006000000}" name="J3 (Rank)" dataDxfId="488">
      <calculatedColumnFormula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Row],[Category]],Twirling_Solo_Program28910111213141516171852535455565758606163656768697273747576[J3 TOTAL],"&gt;"&amp;Twirling_Solo_Program28910111213141516171852535455565758606163656768697273747576[[#This Row],[J3 TOTAL]])+1</calculatedColumnFormula>
    </tableColumn>
    <tableColumn id="18" xr3:uid="{00000000-0010-0000-1A00-000012000000}" name="Judge 4_x000a_Bernard Barač" dataDxfId="487"/>
    <tableColumn id="36" xr3:uid="{00000000-0010-0000-1A00-000024000000}" name="J4 (-)" dataDxfId="486"/>
    <tableColumn id="31" xr3:uid="{00000000-0010-0000-1A00-00001F000000}" name="J4 TOTAL" dataDxfId="485">
      <calculatedColumnFormula>Twirling_Solo_Program28910111213141516171852535455565758606163656768697273747576[[#This Row],[Judge 4
Bernard Barač]]-V2</calculatedColumnFormula>
    </tableColumn>
    <tableColumn id="7" xr3:uid="{00000000-0010-0000-1A00-000007000000}" name="J4 (Rank)" dataDxfId="484">
      <calculatedColumnFormula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Row],[Category]],Twirling_Solo_Program28910111213141516171852535455565758606163656768697273747576[J4 TOTAL],"&gt;"&amp;Twirling_Solo_Program28910111213141516171852535455565758606163656768697273747576[[#This Row],[J4 TOTAL]])+1</calculatedColumnFormula>
    </tableColumn>
    <tableColumn id="20" xr3:uid="{00000000-0010-0000-1A00-000014000000}" name="Total" dataDxfId="483">
      <calculatedColumnFormula>SUM(Twirling_Solo_Program28910111213141516171852535455565758606163656768697273747576[[#This Row],[J1 TOTAL]]+Twirling_Solo_Program28910111213141516171852535455565758606163656768697273747576[[#This Row],[J2 TOTAL]]+Twirling_Solo_Program28910111213141516171852535455565758606163656768697273747576[[#This Row],[J3 TOTAL]]+Twirling_Solo_Program28910111213141516171852535455565758606163656768697273747576[[#This Row],[J4 TOTAL]])</calculatedColumnFormula>
    </tableColumn>
    <tableColumn id="23" xr3:uid="{00000000-0010-0000-1A00-000017000000}" name="Low" dataDxfId="482"/>
    <tableColumn id="19" xr3:uid="{00000000-0010-0000-1A00-000013000000}" name="High" dataDxfId="481"/>
    <tableColumn id="25" xr3:uid="{00000000-0010-0000-1A00-000019000000}" name="Final Total" dataDxfId="480">
      <calculatedColumnFormula>SUM(Twirling_Solo_Program28910111213141516171852535455565758606163656768697273747576[[#This Row],[Total]]-Twirling_Solo_Program28910111213141516171852535455565758606163656768697273747576[[#This Row],[Low]]-Twirling_Solo_Program28910111213141516171852535455565758606163656768697273747576[[#This Row],[High]])</calculatedColumnFormula>
    </tableColumn>
    <tableColumn id="24" xr3:uid="{00000000-0010-0000-1A00-000018000000}" name="Avg" dataDxfId="479">
      <calculatedColumnFormula>AVERAGE(I2,M2,Q2,U2)</calculatedColumnFormula>
    </tableColumn>
    <tableColumn id="22" xr3:uid="{00000000-0010-0000-1A00-000016000000}" name="FINAL SCORE" dataDxfId="478">
      <calculatedColumnFormula>Twirling_Solo_Program28910111213141516171852535455565758606163656768697273747576[[#This Row],[Final Total]]</calculatedColumnFormula>
    </tableColumn>
    <tableColumn id="27" xr3:uid="{00000000-0010-0000-1A00-00001B000000}" name="Rank" dataDxfId="477">
      <calculatedColumnFormula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Row],[Category]],Twirling_Solo_Program28910111213141516171852535455565758606163656768697273747576[FINAL SCORE],"&gt;"&amp;Twirling_Solo_Program28910111213141516171852535455565758606163656768697273747576[[#This Row],[FINAL SCORE]])+1</calculatedColumnFormula>
    </tableColumn>
    <tableColumn id="39" xr3:uid="{00000000-0010-0000-1A00-000027000000}" name="Category Type" dataDxfId="476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18000000}" name="Twirling_Solo_Program2891011121314151617185253545556575860616365676869727374" displayName="Twirling_Solo_Program2891011121314151617185253545556575860616365676869727374" ref="A1:AF7" totalsRowShown="0" headerRowDxfId="475" dataDxfId="474">
  <autoFilter ref="A1:AF7" xr:uid="{00000000-0009-0000-0100-000049000000}"/>
  <sortState xmlns:xlrd2="http://schemas.microsoft.com/office/spreadsheetml/2017/richdata2" ref="A2:AF7">
    <sortCondition ref="AE2:AE7"/>
  </sortState>
  <tableColumns count="32">
    <tableColumn id="1" xr3:uid="{00000000-0010-0000-1800-000001000000}" name="Start No." dataDxfId="473"/>
    <tableColumn id="8" xr3:uid="{00000000-0010-0000-1800-000008000000}" name="Lane" dataDxfId="472"/>
    <tableColumn id="9" xr3:uid="{00000000-0010-0000-1800-000009000000}" name="Category" dataDxfId="471"/>
    <tableColumn id="32" xr3:uid="{00000000-0010-0000-1800-000020000000}" name="Age_x000a_Division" dataDxfId="470"/>
    <tableColumn id="40" xr3:uid="{00000000-0010-0000-1800-000028000000}" name="Level" dataDxfId="469"/>
    <tableColumn id="4" xr3:uid="{00000000-0010-0000-1800-000004000000}" name="Athlete" dataDxfId="468"/>
    <tableColumn id="38" xr3:uid="{00000000-0010-0000-1800-000026000000}" name="Club" dataDxfId="467"/>
    <tableColumn id="37" xr3:uid="{00000000-0010-0000-1800-000025000000}" name="Country" dataDxfId="466"/>
    <tableColumn id="15" xr3:uid="{00000000-0010-0000-1800-00000F000000}" name="Judge 1_x000a_Tamara Beljak" dataDxfId="465"/>
    <tableColumn id="33" xr3:uid="{00000000-0010-0000-1800-000021000000}" name="J1 (-)" dataDxfId="464"/>
    <tableColumn id="26" xr3:uid="{00000000-0010-0000-1800-00001A000000}" name="J1 TOTAL" dataDxfId="463">
      <calculatedColumnFormula>Twirling_Solo_Program2891011121314151617185253545556575860616365676869727374[[#This Row],[Judge 1
Tamara Beljak]]-J2</calculatedColumnFormula>
    </tableColumn>
    <tableColumn id="3" xr3:uid="{00000000-0010-0000-1800-000003000000}" name="J1 (Rank)" dataDxfId="462">
      <calculatedColumnFormula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Row],[Category]],Twirling_Solo_Program2891011121314151617185253545556575860616365676869727374[J1 TOTAL],"&gt;"&amp;Twirling_Solo_Program2891011121314151617185253545556575860616365676869727374[[#This Row],[J1 TOTAL]])+1</calculatedColumnFormula>
    </tableColumn>
    <tableColumn id="16" xr3:uid="{00000000-0010-0000-1800-000010000000}" name="Judge 2_x000a_Tihomir Bendelja" dataDxfId="461"/>
    <tableColumn id="34" xr3:uid="{00000000-0010-0000-1800-000022000000}" name="J2 (-)" dataDxfId="460"/>
    <tableColumn id="28" xr3:uid="{00000000-0010-0000-1800-00001C000000}" name="J2 TOTAL" dataDxfId="459">
      <calculatedColumnFormula>Twirling_Solo_Program2891011121314151617185253545556575860616365676869727374[[#This Row],[Judge 2
Tihomir Bendelja]]-Twirling_Solo_Program2891011121314151617185253545556575860616365676869727374[[#This Row],[J2 (-)]]</calculatedColumnFormula>
    </tableColumn>
    <tableColumn id="5" xr3:uid="{00000000-0010-0000-1800-000005000000}" name="J2 (Rank)" dataDxfId="458">
      <calculatedColumnFormula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Row],[Category]],Twirling_Solo_Program2891011121314151617185253545556575860616365676869727374[J2 TOTAL],"&gt;"&amp;Twirling_Solo_Program2891011121314151617185253545556575860616365676869727374[[#This Row],[J2 TOTAL]])+1</calculatedColumnFormula>
    </tableColumn>
    <tableColumn id="17" xr3:uid="{00000000-0010-0000-1800-000011000000}" name="Judge 3_x000a_Barbara Novina" dataDxfId="457"/>
    <tableColumn id="35" xr3:uid="{00000000-0010-0000-1800-000023000000}" name="J3 (-)" dataDxfId="456"/>
    <tableColumn id="30" xr3:uid="{00000000-0010-0000-1800-00001E000000}" name="J3 TOTAL" dataDxfId="455">
      <calculatedColumnFormula>Twirling_Solo_Program2891011121314151617185253545556575860616365676869727374[[#This Row],[Judge 3
Barbara Novina]]-R2</calculatedColumnFormula>
    </tableColumn>
    <tableColumn id="6" xr3:uid="{00000000-0010-0000-1800-000006000000}" name="J3 (Rank)" dataDxfId="454">
      <calculatedColumnFormula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Row],[Category]],Twirling_Solo_Program2891011121314151617185253545556575860616365676869727374[J3 TOTAL],"&gt;"&amp;Twirling_Solo_Program2891011121314151617185253545556575860616365676869727374[[#This Row],[J3 TOTAL]])+1</calculatedColumnFormula>
    </tableColumn>
    <tableColumn id="18" xr3:uid="{00000000-0010-0000-1800-000012000000}" name="Judge 4_x000a_Bernard Barač" dataDxfId="453"/>
    <tableColumn id="36" xr3:uid="{00000000-0010-0000-1800-000024000000}" name="J4 (-)" dataDxfId="452"/>
    <tableColumn id="31" xr3:uid="{00000000-0010-0000-1800-00001F000000}" name="J4 TOTAL" dataDxfId="451">
      <calculatedColumnFormula>Twirling_Solo_Program2891011121314151617185253545556575860616365676869727374[[#This Row],[Judge 4
Bernard Barač]]-V2</calculatedColumnFormula>
    </tableColumn>
    <tableColumn id="7" xr3:uid="{00000000-0010-0000-1800-000007000000}" name="J4 (Rank)" dataDxfId="450">
      <calculatedColumnFormula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Row],[Category]],Twirling_Solo_Program2891011121314151617185253545556575860616365676869727374[J4 TOTAL],"&gt;"&amp;Twirling_Solo_Program2891011121314151617185253545556575860616365676869727374[[#This Row],[J4 TOTAL]])+1</calculatedColumnFormula>
    </tableColumn>
    <tableColumn id="20" xr3:uid="{00000000-0010-0000-1800-000014000000}" name="Total" dataDxfId="449">
      <calculatedColumnFormula>SUM(Twirling_Solo_Program2891011121314151617185253545556575860616365676869727374[[#This Row],[J1 TOTAL]]+Twirling_Solo_Program2891011121314151617185253545556575860616365676869727374[[#This Row],[J2 TOTAL]]+Twirling_Solo_Program2891011121314151617185253545556575860616365676869727374[[#This Row],[J3 TOTAL]]+Twirling_Solo_Program2891011121314151617185253545556575860616365676869727374[[#This Row],[J4 TOTAL]])</calculatedColumnFormula>
    </tableColumn>
    <tableColumn id="23" xr3:uid="{00000000-0010-0000-1800-000017000000}" name="Low" dataDxfId="448"/>
    <tableColumn id="19" xr3:uid="{00000000-0010-0000-1800-000013000000}" name="High" dataDxfId="447"/>
    <tableColumn id="25" xr3:uid="{00000000-0010-0000-1800-000019000000}" name="Final Total" dataDxfId="446">
      <calculatedColumnFormula>SUM(Twirling_Solo_Program2891011121314151617185253545556575860616365676869727374[[#This Row],[Total]]-Twirling_Solo_Program2891011121314151617185253545556575860616365676869727374[[#This Row],[Low]]-Twirling_Solo_Program2891011121314151617185253545556575860616365676869727374[[#This Row],[High]])</calculatedColumnFormula>
    </tableColumn>
    <tableColumn id="24" xr3:uid="{00000000-0010-0000-1800-000018000000}" name="Avg" dataDxfId="445">
      <calculatedColumnFormula>AVERAGE(I2,M2,Q2,U2)</calculatedColumnFormula>
    </tableColumn>
    <tableColumn id="22" xr3:uid="{00000000-0010-0000-1800-000016000000}" name="FINAL SCORE" dataDxfId="444">
      <calculatedColumnFormula>Twirling_Solo_Program2891011121314151617185253545556575860616365676869727374[[#This Row],[Final Total]]</calculatedColumnFormula>
    </tableColumn>
    <tableColumn id="27" xr3:uid="{00000000-0010-0000-1800-00001B000000}" name="Rank" dataDxfId="443">
      <calculatedColumnFormula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Row],[Category]],Twirling_Solo_Program2891011121314151617185253545556575860616365676869727374[FINAL SCORE],"&gt;"&amp;Twirling_Solo_Program2891011121314151617185253545556575860616365676869727374[[#This Row],[FINAL SCORE]])+1</calculatedColumnFormula>
    </tableColumn>
    <tableColumn id="39" xr3:uid="{00000000-0010-0000-1800-000027000000}" name="Category Type" dataDxfId="44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19000000}" name="Twirling_Solo_Program289101112131415161718525354555657586061636567686972737475" displayName="Twirling_Solo_Program289101112131415161718525354555657586061636567686972737475" ref="A1:AF5" totalsRowShown="0" headerRowDxfId="441" dataDxfId="440">
  <autoFilter ref="A1:AF5" xr:uid="{00000000-0009-0000-0100-00004A000000}"/>
  <sortState xmlns:xlrd2="http://schemas.microsoft.com/office/spreadsheetml/2017/richdata2" ref="A2:AF5">
    <sortCondition ref="AE2:AE5"/>
  </sortState>
  <tableColumns count="32">
    <tableColumn id="1" xr3:uid="{00000000-0010-0000-1900-000001000000}" name="Start No." dataDxfId="439"/>
    <tableColumn id="8" xr3:uid="{00000000-0010-0000-1900-000008000000}" name="Lane" dataDxfId="438"/>
    <tableColumn id="9" xr3:uid="{00000000-0010-0000-1900-000009000000}" name="Category" dataDxfId="437"/>
    <tableColumn id="32" xr3:uid="{00000000-0010-0000-1900-000020000000}" name="Age_x000a_Division" dataDxfId="436"/>
    <tableColumn id="40" xr3:uid="{00000000-0010-0000-1900-000028000000}" name="Level" dataDxfId="435"/>
    <tableColumn id="4" xr3:uid="{00000000-0010-0000-1900-000004000000}" name="Athlete" dataDxfId="434"/>
    <tableColumn id="38" xr3:uid="{00000000-0010-0000-1900-000026000000}" name="Club" dataDxfId="433"/>
    <tableColumn id="37" xr3:uid="{00000000-0010-0000-1900-000025000000}" name="Country" dataDxfId="432"/>
    <tableColumn id="15" xr3:uid="{00000000-0010-0000-1900-00000F000000}" name="Judge 1_x000a_Tamara Beljak" dataDxfId="431"/>
    <tableColumn id="33" xr3:uid="{00000000-0010-0000-1900-000021000000}" name="J1 (-)" dataDxfId="430"/>
    <tableColumn id="26" xr3:uid="{00000000-0010-0000-1900-00001A000000}" name="J1 TOTAL" dataDxfId="429">
      <calculatedColumnFormula>Twirling_Solo_Program289101112131415161718525354555657586061636567686972737475[[#This Row],[Judge 1
Tamara Beljak]]-J2</calculatedColumnFormula>
    </tableColumn>
    <tableColumn id="3" xr3:uid="{00000000-0010-0000-1900-000003000000}" name="J1 (Rank)" dataDxfId="428">
      <calculatedColumnFormula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Row],[Category]],Twirling_Solo_Program289101112131415161718525354555657586061636567686972737475[J1 TOTAL],"&gt;"&amp;Twirling_Solo_Program289101112131415161718525354555657586061636567686972737475[[#This Row],[J1 TOTAL]])+1</calculatedColumnFormula>
    </tableColumn>
    <tableColumn id="16" xr3:uid="{00000000-0010-0000-1900-000010000000}" name="Judge 2_x000a_Tihomir Bendelja" dataDxfId="427"/>
    <tableColumn id="34" xr3:uid="{00000000-0010-0000-1900-000022000000}" name="J2 (-)" dataDxfId="426"/>
    <tableColumn id="28" xr3:uid="{00000000-0010-0000-1900-00001C000000}" name="J2 TOTAL" dataDxfId="425">
      <calculatedColumnFormula>Twirling_Solo_Program289101112131415161718525354555657586061636567686972737475[[#This Row],[Judge 2
Tihomir Bendelja]]-Twirling_Solo_Program289101112131415161718525354555657586061636567686972737475[[#This Row],[J2 (-)]]</calculatedColumnFormula>
    </tableColumn>
    <tableColumn id="5" xr3:uid="{00000000-0010-0000-1900-000005000000}" name="J2 (Rank)" dataDxfId="424">
      <calculatedColumnFormula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Row],[Category]],Twirling_Solo_Program289101112131415161718525354555657586061636567686972737475[J2 TOTAL],"&gt;"&amp;Twirling_Solo_Program289101112131415161718525354555657586061636567686972737475[[#This Row],[J2 TOTAL]])+1</calculatedColumnFormula>
    </tableColumn>
    <tableColumn id="17" xr3:uid="{00000000-0010-0000-1900-000011000000}" name="Judge 3_x000a_Barbara Novina" dataDxfId="423"/>
    <tableColumn id="35" xr3:uid="{00000000-0010-0000-1900-000023000000}" name="J3 (-)" dataDxfId="422"/>
    <tableColumn id="30" xr3:uid="{00000000-0010-0000-1900-00001E000000}" name="J3 TOTAL" dataDxfId="421">
      <calculatedColumnFormula>Twirling_Solo_Program289101112131415161718525354555657586061636567686972737475[[#This Row],[Judge 3
Barbara Novina]]-R2</calculatedColumnFormula>
    </tableColumn>
    <tableColumn id="6" xr3:uid="{00000000-0010-0000-1900-000006000000}" name="J3 (Rank)" dataDxfId="420">
      <calculatedColumnFormula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Row],[Category]],Twirling_Solo_Program289101112131415161718525354555657586061636567686972737475[J3 TOTAL],"&gt;"&amp;Twirling_Solo_Program289101112131415161718525354555657586061636567686972737475[[#This Row],[J3 TOTAL]])+1</calculatedColumnFormula>
    </tableColumn>
    <tableColumn id="18" xr3:uid="{00000000-0010-0000-1900-000012000000}" name="Judge 4_x000a_Bernard Barač" dataDxfId="419"/>
    <tableColumn id="36" xr3:uid="{00000000-0010-0000-1900-000024000000}" name="J4 (-)" dataDxfId="418"/>
    <tableColumn id="31" xr3:uid="{00000000-0010-0000-1900-00001F000000}" name="J4 TOTAL" dataDxfId="417">
      <calculatedColumnFormula>Twirling_Solo_Program289101112131415161718525354555657586061636567686972737475[[#This Row],[Judge 4
Bernard Barač]]-V2</calculatedColumnFormula>
    </tableColumn>
    <tableColumn id="7" xr3:uid="{00000000-0010-0000-1900-000007000000}" name="J4 (Rank)" dataDxfId="416">
      <calculatedColumnFormula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Row],[Category]],Twirling_Solo_Program289101112131415161718525354555657586061636567686972737475[J4 TOTAL],"&gt;"&amp;Twirling_Solo_Program289101112131415161718525354555657586061636567686972737475[[#This Row],[J4 TOTAL]])+1</calculatedColumnFormula>
    </tableColumn>
    <tableColumn id="20" xr3:uid="{00000000-0010-0000-1900-000014000000}" name="Total" dataDxfId="415">
      <calculatedColumnFormula>SUM(Twirling_Solo_Program289101112131415161718525354555657586061636567686972737475[[#This Row],[J1 TOTAL]]+Twirling_Solo_Program289101112131415161718525354555657586061636567686972737475[[#This Row],[J2 TOTAL]]+Twirling_Solo_Program289101112131415161718525354555657586061636567686972737475[[#This Row],[J3 TOTAL]]+Twirling_Solo_Program289101112131415161718525354555657586061636567686972737475[[#This Row],[J4 TOTAL]])</calculatedColumnFormula>
    </tableColumn>
    <tableColumn id="23" xr3:uid="{00000000-0010-0000-1900-000017000000}" name="Low" dataDxfId="414"/>
    <tableColumn id="19" xr3:uid="{00000000-0010-0000-1900-000013000000}" name="High" dataDxfId="413"/>
    <tableColumn id="25" xr3:uid="{00000000-0010-0000-1900-000019000000}" name="Final Total" dataDxfId="412">
      <calculatedColumnFormula>SUM(Twirling_Solo_Program289101112131415161718525354555657586061636567686972737475[[#This Row],[Total]]-Twirling_Solo_Program289101112131415161718525354555657586061636567686972737475[[#This Row],[Low]]-Twirling_Solo_Program289101112131415161718525354555657586061636567686972737475[[#This Row],[High]])</calculatedColumnFormula>
    </tableColumn>
    <tableColumn id="24" xr3:uid="{00000000-0010-0000-1900-000018000000}" name="Avg" dataDxfId="411">
      <calculatedColumnFormula>AVERAGE(I2,M2,Q2,U2)</calculatedColumnFormula>
    </tableColumn>
    <tableColumn id="22" xr3:uid="{00000000-0010-0000-1900-000016000000}" name="FINAL SCORE" dataDxfId="410">
      <calculatedColumnFormula>Twirling_Solo_Program289101112131415161718525354555657586061636567686972737475[[#This Row],[Final Total]]</calculatedColumnFormula>
    </tableColumn>
    <tableColumn id="27" xr3:uid="{00000000-0010-0000-1900-00001B000000}" name="Rank" dataDxfId="409">
      <calculatedColumnFormula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Row],[Category]],Twirling_Solo_Program289101112131415161718525354555657586061636567686972737475[FINAL SCORE],"&gt;"&amp;Twirling_Solo_Program289101112131415161718525354555657586061636567686972737475[[#This Row],[FINAL SCORE]])+1</calculatedColumnFormula>
    </tableColumn>
    <tableColumn id="39" xr3:uid="{00000000-0010-0000-1900-000027000000}" name="Category Type" dataDxfId="408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1B000000}" name="Twirling_Solo_Program2891011121314151617185253545556575860616365676869727374757677" displayName="Twirling_Solo_Program2891011121314151617185253545556575860616365676869727374757677" ref="A1:AF7" totalsRowShown="0" headerRowDxfId="407" dataDxfId="406">
  <autoFilter ref="A1:AF7" xr:uid="{00000000-0009-0000-0100-00004C000000}"/>
  <sortState xmlns:xlrd2="http://schemas.microsoft.com/office/spreadsheetml/2017/richdata2" ref="A2:AF7">
    <sortCondition ref="AE2:AE7"/>
  </sortState>
  <tableColumns count="32">
    <tableColumn id="1" xr3:uid="{00000000-0010-0000-1B00-000001000000}" name="Start No." dataDxfId="405"/>
    <tableColumn id="8" xr3:uid="{00000000-0010-0000-1B00-000008000000}" name="Lane" dataDxfId="404"/>
    <tableColumn id="9" xr3:uid="{00000000-0010-0000-1B00-000009000000}" name="Category" dataDxfId="403"/>
    <tableColumn id="32" xr3:uid="{00000000-0010-0000-1B00-000020000000}" name="Age_x000a_Division" dataDxfId="402"/>
    <tableColumn id="40" xr3:uid="{00000000-0010-0000-1B00-000028000000}" name="Level" dataDxfId="401"/>
    <tableColumn id="4" xr3:uid="{00000000-0010-0000-1B00-000004000000}" name="Athlete" dataDxfId="400"/>
    <tableColumn id="38" xr3:uid="{00000000-0010-0000-1B00-000026000000}" name="Club" dataDxfId="399"/>
    <tableColumn id="37" xr3:uid="{00000000-0010-0000-1B00-000025000000}" name="Country" dataDxfId="398"/>
    <tableColumn id="15" xr3:uid="{00000000-0010-0000-1B00-00000F000000}" name="Judge 1_x000a_Tamara Beljak" dataDxfId="397"/>
    <tableColumn id="33" xr3:uid="{00000000-0010-0000-1B00-000021000000}" name="J1 (-)" dataDxfId="396"/>
    <tableColumn id="26" xr3:uid="{00000000-0010-0000-1B00-00001A000000}" name="J1 TOTAL" dataDxfId="395">
      <calculatedColumnFormula>Twirling_Solo_Program2891011121314151617185253545556575860616365676869727374757677[[#This Row],[Judge 1
Tamara Beljak]]-J2</calculatedColumnFormula>
    </tableColumn>
    <tableColumn id="3" xr3:uid="{00000000-0010-0000-1B00-000003000000}" name="J1 (Rank)" dataDxfId="394">
      <calculatedColumnFormula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Row],[Category]],Twirling_Solo_Program2891011121314151617185253545556575860616365676869727374757677[J1 TOTAL],"&gt;"&amp;Twirling_Solo_Program2891011121314151617185253545556575860616365676869727374757677[[#This Row],[J1 TOTAL]])+1</calculatedColumnFormula>
    </tableColumn>
    <tableColumn id="16" xr3:uid="{00000000-0010-0000-1B00-000010000000}" name="Judge 2_x000a_Tihomir Bendelja" dataDxfId="393"/>
    <tableColumn id="34" xr3:uid="{00000000-0010-0000-1B00-000022000000}" name="J2 (-)" dataDxfId="392"/>
    <tableColumn id="28" xr3:uid="{00000000-0010-0000-1B00-00001C000000}" name="J2 TOTAL" dataDxfId="391">
      <calculatedColumnFormula>Twirling_Solo_Program2891011121314151617185253545556575860616365676869727374757677[[#This Row],[Judge 2
Tihomir Bendelja]]-Twirling_Solo_Program2891011121314151617185253545556575860616365676869727374757677[[#This Row],[J2 (-)]]</calculatedColumnFormula>
    </tableColumn>
    <tableColumn id="5" xr3:uid="{00000000-0010-0000-1B00-000005000000}" name="J2 (Rank)" dataDxfId="390">
      <calculatedColumnFormula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Row],[Category]],Twirling_Solo_Program2891011121314151617185253545556575860616365676869727374757677[J2 TOTAL],"&gt;"&amp;Twirling_Solo_Program2891011121314151617185253545556575860616365676869727374757677[[#This Row],[J2 TOTAL]])+1</calculatedColumnFormula>
    </tableColumn>
    <tableColumn id="17" xr3:uid="{00000000-0010-0000-1B00-000011000000}" name="Judge 3_x000a_Barbara Novina" dataDxfId="389"/>
    <tableColumn id="35" xr3:uid="{00000000-0010-0000-1B00-000023000000}" name="J3 (-)" dataDxfId="388"/>
    <tableColumn id="30" xr3:uid="{00000000-0010-0000-1B00-00001E000000}" name="J3 TOTAL" dataDxfId="387">
      <calculatedColumnFormula>Twirling_Solo_Program2891011121314151617185253545556575860616365676869727374757677[[#This Row],[Judge 3
Barbara Novina]]-R2</calculatedColumnFormula>
    </tableColumn>
    <tableColumn id="6" xr3:uid="{00000000-0010-0000-1B00-000006000000}" name="J3 (Rank)" dataDxfId="386">
      <calculatedColumnFormula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Row],[Category]],Twirling_Solo_Program2891011121314151617185253545556575860616365676869727374757677[J3 TOTAL],"&gt;"&amp;Twirling_Solo_Program2891011121314151617185253545556575860616365676869727374757677[[#This Row],[J3 TOTAL]])+1</calculatedColumnFormula>
    </tableColumn>
    <tableColumn id="18" xr3:uid="{00000000-0010-0000-1B00-000012000000}" name="Judge 4_x000a_Bernard Barač" dataDxfId="385"/>
    <tableColumn id="36" xr3:uid="{00000000-0010-0000-1B00-000024000000}" name="J4 (-)" dataDxfId="384"/>
    <tableColumn id="31" xr3:uid="{00000000-0010-0000-1B00-00001F000000}" name="J4 TOTAL" dataDxfId="383">
      <calculatedColumnFormula>Twirling_Solo_Program2891011121314151617185253545556575860616365676869727374757677[[#This Row],[Judge 4
Bernard Barač]]-V2</calculatedColumnFormula>
    </tableColumn>
    <tableColumn id="7" xr3:uid="{00000000-0010-0000-1B00-000007000000}" name="J4 (Rank)" dataDxfId="382">
      <calculatedColumnFormula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Row],[Category]],Twirling_Solo_Program2891011121314151617185253545556575860616365676869727374757677[J4 TOTAL],"&gt;"&amp;Twirling_Solo_Program2891011121314151617185253545556575860616365676869727374757677[[#This Row],[J4 TOTAL]])+1</calculatedColumnFormula>
    </tableColumn>
    <tableColumn id="20" xr3:uid="{00000000-0010-0000-1B00-000014000000}" name="Total" dataDxfId="381">
      <calculatedColumnFormula>SUM(Twirling_Solo_Program2891011121314151617185253545556575860616365676869727374757677[[#This Row],[J1 TOTAL]]+Twirling_Solo_Program2891011121314151617185253545556575860616365676869727374757677[[#This Row],[J2 TOTAL]]+Twirling_Solo_Program2891011121314151617185253545556575860616365676869727374757677[[#This Row],[J3 TOTAL]]+Twirling_Solo_Program2891011121314151617185253545556575860616365676869727374757677[[#This Row],[J4 TOTAL]])</calculatedColumnFormula>
    </tableColumn>
    <tableColumn id="23" xr3:uid="{00000000-0010-0000-1B00-000017000000}" name="Low" dataDxfId="380"/>
    <tableColumn id="19" xr3:uid="{00000000-0010-0000-1B00-000013000000}" name="High" dataDxfId="379"/>
    <tableColumn id="25" xr3:uid="{00000000-0010-0000-1B00-000019000000}" name="Final Total" dataDxfId="378">
      <calculatedColumnFormula>SUM(Twirling_Solo_Program2891011121314151617185253545556575860616365676869727374757677[[#This Row],[Total]]-Twirling_Solo_Program2891011121314151617185253545556575860616365676869727374757677[[#This Row],[Low]]-Twirling_Solo_Program2891011121314151617185253545556575860616365676869727374757677[[#This Row],[High]])</calculatedColumnFormula>
    </tableColumn>
    <tableColumn id="24" xr3:uid="{00000000-0010-0000-1B00-000018000000}" name="Avg" dataDxfId="377">
      <calculatedColumnFormula>AVERAGE(I2,M2,Q2,U2)</calculatedColumnFormula>
    </tableColumn>
    <tableColumn id="22" xr3:uid="{00000000-0010-0000-1B00-000016000000}" name="FINAL SCORE" dataDxfId="376">
      <calculatedColumnFormula>Twirling_Solo_Program2891011121314151617185253545556575860616365676869727374757677[[#This Row],[Final Total]]</calculatedColumnFormula>
    </tableColumn>
    <tableColumn id="27" xr3:uid="{00000000-0010-0000-1B00-00001B000000}" name="Rank" dataDxfId="375">
      <calculatedColumnFormula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Row],[Category]],Twirling_Solo_Program2891011121314151617185253545556575860616365676869727374757677[FINAL SCORE],"&gt;"&amp;Twirling_Solo_Program2891011121314151617185253545556575860616365676869727374757677[[#This Row],[FINAL SCORE]])+1</calculatedColumnFormula>
    </tableColumn>
    <tableColumn id="39" xr3:uid="{00000000-0010-0000-1B00-000027000000}" name="Category Type" dataDxfId="37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1C000000}" name="Twirling_Solo_Program289101112131415161718525354555657586061636567686972737475767778" displayName="Twirling_Solo_Program289101112131415161718525354555657586061636567686972737475767778" ref="A1:AF5" totalsRowShown="0" headerRowDxfId="373" dataDxfId="372">
  <autoFilter ref="A1:AF5" xr:uid="{00000000-0009-0000-0100-00004D000000}"/>
  <sortState xmlns:xlrd2="http://schemas.microsoft.com/office/spreadsheetml/2017/richdata2" ref="A2:AF5">
    <sortCondition ref="AE2:AE5"/>
  </sortState>
  <tableColumns count="32">
    <tableColumn id="1" xr3:uid="{00000000-0010-0000-1C00-000001000000}" name="Start No." dataDxfId="371"/>
    <tableColumn id="8" xr3:uid="{00000000-0010-0000-1C00-000008000000}" name="Lane" dataDxfId="370"/>
    <tableColumn id="9" xr3:uid="{00000000-0010-0000-1C00-000009000000}" name="Category" dataDxfId="369"/>
    <tableColumn id="32" xr3:uid="{00000000-0010-0000-1C00-000020000000}" name="Age_x000a_Division" dataDxfId="368"/>
    <tableColumn id="40" xr3:uid="{00000000-0010-0000-1C00-000028000000}" name="Level" dataDxfId="367"/>
    <tableColumn id="4" xr3:uid="{00000000-0010-0000-1C00-000004000000}" name="Athlete" dataDxfId="366"/>
    <tableColumn id="38" xr3:uid="{00000000-0010-0000-1C00-000026000000}" name="Club" dataDxfId="365"/>
    <tableColumn id="37" xr3:uid="{00000000-0010-0000-1C00-000025000000}" name="Country" dataDxfId="364"/>
    <tableColumn id="15" xr3:uid="{00000000-0010-0000-1C00-00000F000000}" name="Judge 1_x000a_Tamara Beljak" dataDxfId="363"/>
    <tableColumn id="33" xr3:uid="{00000000-0010-0000-1C00-000021000000}" name="J1 (-)" dataDxfId="362"/>
    <tableColumn id="26" xr3:uid="{00000000-0010-0000-1C00-00001A000000}" name="J1 TOTAL" dataDxfId="361">
      <calculatedColumnFormula>Twirling_Solo_Program289101112131415161718525354555657586061636567686972737475767778[[#This Row],[Judge 1
Tamara Beljak]]-J2</calculatedColumnFormula>
    </tableColumn>
    <tableColumn id="3" xr3:uid="{00000000-0010-0000-1C00-000003000000}" name="J1 (Rank)" dataDxfId="360">
      <calculatedColumnFormula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Row],[Category]],Twirling_Solo_Program289101112131415161718525354555657586061636567686972737475767778[J1 TOTAL],"&gt;"&amp;Twirling_Solo_Program289101112131415161718525354555657586061636567686972737475767778[[#This Row],[J1 TOTAL]])+1</calculatedColumnFormula>
    </tableColumn>
    <tableColumn id="16" xr3:uid="{00000000-0010-0000-1C00-000010000000}" name="Judge 2_x000a_Tihomir Bendelja" dataDxfId="359"/>
    <tableColumn id="34" xr3:uid="{00000000-0010-0000-1C00-000022000000}" name="J2 (-)" dataDxfId="358"/>
    <tableColumn id="28" xr3:uid="{00000000-0010-0000-1C00-00001C000000}" name="J2 TOTAL" dataDxfId="357">
      <calculatedColumnFormula>Twirling_Solo_Program289101112131415161718525354555657586061636567686972737475767778[[#This Row],[Judge 2
Tihomir Bendelja]]-Twirling_Solo_Program289101112131415161718525354555657586061636567686972737475767778[[#This Row],[J2 (-)]]</calculatedColumnFormula>
    </tableColumn>
    <tableColumn id="5" xr3:uid="{00000000-0010-0000-1C00-000005000000}" name="J2 (Rank)" dataDxfId="356">
      <calculatedColumnFormula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Row],[Category]],Twirling_Solo_Program289101112131415161718525354555657586061636567686972737475767778[J2 TOTAL],"&gt;"&amp;Twirling_Solo_Program289101112131415161718525354555657586061636567686972737475767778[[#This Row],[J2 TOTAL]])+1</calculatedColumnFormula>
    </tableColumn>
    <tableColumn id="17" xr3:uid="{00000000-0010-0000-1C00-000011000000}" name="Judge 3_x000a_Barbara Novina" dataDxfId="355"/>
    <tableColumn id="35" xr3:uid="{00000000-0010-0000-1C00-000023000000}" name="J3 (-)" dataDxfId="354"/>
    <tableColumn id="30" xr3:uid="{00000000-0010-0000-1C00-00001E000000}" name="J3 TOTAL" dataDxfId="353">
      <calculatedColumnFormula>Twirling_Solo_Program289101112131415161718525354555657586061636567686972737475767778[[#This Row],[Judge 3
Barbara Novina]]-R2</calculatedColumnFormula>
    </tableColumn>
    <tableColumn id="6" xr3:uid="{00000000-0010-0000-1C00-000006000000}" name="J3 (Rank)" dataDxfId="352">
      <calculatedColumnFormula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Row],[Category]],Twirling_Solo_Program289101112131415161718525354555657586061636567686972737475767778[J3 TOTAL],"&gt;"&amp;Twirling_Solo_Program289101112131415161718525354555657586061636567686972737475767778[[#This Row],[J3 TOTAL]])+1</calculatedColumnFormula>
    </tableColumn>
    <tableColumn id="18" xr3:uid="{00000000-0010-0000-1C00-000012000000}" name="Judge 4_x000a_Bernard Barač" dataDxfId="351"/>
    <tableColumn id="36" xr3:uid="{00000000-0010-0000-1C00-000024000000}" name="J4 (-)" dataDxfId="350"/>
    <tableColumn id="31" xr3:uid="{00000000-0010-0000-1C00-00001F000000}" name="J4 TOTAL" dataDxfId="349">
      <calculatedColumnFormula>Twirling_Solo_Program289101112131415161718525354555657586061636567686972737475767778[[#This Row],[Judge 4
Bernard Barač]]-V2</calculatedColumnFormula>
    </tableColumn>
    <tableColumn id="7" xr3:uid="{00000000-0010-0000-1C00-000007000000}" name="J4 (Rank)" dataDxfId="348">
      <calculatedColumnFormula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Row],[Category]],Twirling_Solo_Program289101112131415161718525354555657586061636567686972737475767778[J4 TOTAL],"&gt;"&amp;Twirling_Solo_Program289101112131415161718525354555657586061636567686972737475767778[[#This Row],[J4 TOTAL]])+1</calculatedColumnFormula>
    </tableColumn>
    <tableColumn id="20" xr3:uid="{00000000-0010-0000-1C00-000014000000}" name="Total" dataDxfId="347">
      <calculatedColumnFormula>SUM(Twirling_Solo_Program289101112131415161718525354555657586061636567686972737475767778[[#This Row],[J1 TOTAL]]+Twirling_Solo_Program289101112131415161718525354555657586061636567686972737475767778[[#This Row],[J2 TOTAL]]+Twirling_Solo_Program289101112131415161718525354555657586061636567686972737475767778[[#This Row],[J3 TOTAL]]+Twirling_Solo_Program289101112131415161718525354555657586061636567686972737475767778[[#This Row],[J4 TOTAL]])</calculatedColumnFormula>
    </tableColumn>
    <tableColumn id="23" xr3:uid="{00000000-0010-0000-1C00-000017000000}" name="Low" dataDxfId="346"/>
    <tableColumn id="19" xr3:uid="{00000000-0010-0000-1C00-000013000000}" name="High" dataDxfId="345"/>
    <tableColumn id="25" xr3:uid="{00000000-0010-0000-1C00-000019000000}" name="Final Total" dataDxfId="344">
      <calculatedColumnFormula>SUM(Twirling_Solo_Program289101112131415161718525354555657586061636567686972737475767778[[#This Row],[Total]]-Twirling_Solo_Program289101112131415161718525354555657586061636567686972737475767778[[#This Row],[Low]]-Twirling_Solo_Program289101112131415161718525354555657586061636567686972737475767778[[#This Row],[High]])</calculatedColumnFormula>
    </tableColumn>
    <tableColumn id="24" xr3:uid="{00000000-0010-0000-1C00-000018000000}" name="Avg" dataDxfId="343">
      <calculatedColumnFormula>AVERAGE(I2,M2,Q2,U2)</calculatedColumnFormula>
    </tableColumn>
    <tableColumn id="22" xr3:uid="{00000000-0010-0000-1C00-000016000000}" name="FINAL SCORE" dataDxfId="342">
      <calculatedColumnFormula>Twirling_Solo_Program289101112131415161718525354555657586061636567686972737475767778[[#This Row],[Final Total]]</calculatedColumnFormula>
    </tableColumn>
    <tableColumn id="27" xr3:uid="{00000000-0010-0000-1C00-00001B000000}" name="Rank" dataDxfId="341">
      <calculatedColumnFormula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Row],[Category]],Twirling_Solo_Program289101112131415161718525354555657586061636567686972737475767778[FINAL SCORE],"&gt;"&amp;Twirling_Solo_Program289101112131415161718525354555657586061636567686972737475767778[[#This Row],[FINAL SCORE]])+1</calculatedColumnFormula>
    </tableColumn>
    <tableColumn id="39" xr3:uid="{00000000-0010-0000-1C00-000027000000}" name="Category Type" dataDxfId="3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3000000}" name="Twirling_Solo_Program2891011121314151617185253" displayName="Twirling_Solo_Program2891011121314151617185253" ref="A1:AF7" totalsRowShown="0" headerRowDxfId="1257" dataDxfId="1256">
  <autoFilter ref="A1:AF7" xr:uid="{00000000-0009-0000-0100-000034000000}"/>
  <sortState xmlns:xlrd2="http://schemas.microsoft.com/office/spreadsheetml/2017/richdata2" ref="A2:AF7">
    <sortCondition ref="AE2:AE7"/>
  </sortState>
  <tableColumns count="32">
    <tableColumn id="1" xr3:uid="{00000000-0010-0000-0300-000001000000}" name="Start No." dataDxfId="1255"/>
    <tableColumn id="8" xr3:uid="{00000000-0010-0000-0300-000008000000}" name="Lane" dataDxfId="1254"/>
    <tableColumn id="9" xr3:uid="{00000000-0010-0000-0300-000009000000}" name="Category" dataDxfId="1253"/>
    <tableColumn id="32" xr3:uid="{00000000-0010-0000-0300-000020000000}" name="Age_x000a_Division" dataDxfId="1252"/>
    <tableColumn id="40" xr3:uid="{00000000-0010-0000-0300-000028000000}" name="Level" dataDxfId="1251"/>
    <tableColumn id="4" xr3:uid="{00000000-0010-0000-0300-000004000000}" name="Athlete" dataDxfId="1250"/>
    <tableColumn id="38" xr3:uid="{00000000-0010-0000-0300-000026000000}" name="Club" dataDxfId="1249"/>
    <tableColumn id="37" xr3:uid="{00000000-0010-0000-0300-000025000000}" name="Country" dataDxfId="1248"/>
    <tableColumn id="15" xr3:uid="{00000000-0010-0000-0300-00000F000000}" name="Judge 1_x000a_Tamara Beljak" dataDxfId="1247"/>
    <tableColumn id="33" xr3:uid="{00000000-0010-0000-0300-000021000000}" name="J1 (-)" dataDxfId="1246"/>
    <tableColumn id="26" xr3:uid="{00000000-0010-0000-0300-00001A000000}" name="J1 TOTAL" dataDxfId="1245">
      <calculatedColumnFormula>Twirling_Solo_Program2891011121314151617185253[[#This Row],[Judge 1
Tamara Beljak]]-J2</calculatedColumnFormula>
    </tableColumn>
    <tableColumn id="3" xr3:uid="{00000000-0010-0000-0300-000003000000}" name="J1 (Rank)" dataDxfId="1244">
      <calculatedColumnFormula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Row],[Category]],Twirling_Solo_Program2891011121314151617185253[J1 TOTAL],"&gt;"&amp;Twirling_Solo_Program2891011121314151617185253[[#This Row],[J1 TOTAL]])+1</calculatedColumnFormula>
    </tableColumn>
    <tableColumn id="16" xr3:uid="{00000000-0010-0000-0300-000010000000}" name="Judge 2_x000a_Tihomir Bendelja" dataDxfId="1243"/>
    <tableColumn id="34" xr3:uid="{00000000-0010-0000-0300-000022000000}" name="J2 (-)" dataDxfId="1242"/>
    <tableColumn id="28" xr3:uid="{00000000-0010-0000-0300-00001C000000}" name="J2 TOTAL" dataDxfId="1241">
      <calculatedColumnFormula>Twirling_Solo_Program2891011121314151617185253[[#This Row],[Judge 2
Tihomir Bendelja]]-Twirling_Solo_Program2891011121314151617185253[[#This Row],[J2 (-)]]</calculatedColumnFormula>
    </tableColumn>
    <tableColumn id="5" xr3:uid="{00000000-0010-0000-0300-000005000000}" name="J2 (Rank)" dataDxfId="1240">
      <calculatedColumnFormula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Row],[Category]],Twirling_Solo_Program2891011121314151617185253[J2 TOTAL],"&gt;"&amp;Twirling_Solo_Program2891011121314151617185253[[#This Row],[J2 TOTAL]])+1</calculatedColumnFormula>
    </tableColumn>
    <tableColumn id="17" xr3:uid="{00000000-0010-0000-0300-000011000000}" name="Judge 3_x000a_Barbara Novina" dataDxfId="1239"/>
    <tableColumn id="35" xr3:uid="{00000000-0010-0000-0300-000023000000}" name="J3 (-)" dataDxfId="1238"/>
    <tableColumn id="30" xr3:uid="{00000000-0010-0000-0300-00001E000000}" name="J3 TOTAL" dataDxfId="1237">
      <calculatedColumnFormula>Twirling_Solo_Program2891011121314151617185253[[#This Row],[Judge 3
Barbara Novina]]-R2</calculatedColumnFormula>
    </tableColumn>
    <tableColumn id="6" xr3:uid="{00000000-0010-0000-0300-000006000000}" name="J3 (Rank)" dataDxfId="1236">
      <calculatedColumnFormula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Row],[Category]],Twirling_Solo_Program2891011121314151617185253[J3 TOTAL],"&gt;"&amp;Twirling_Solo_Program2891011121314151617185253[[#This Row],[J3 TOTAL]])+1</calculatedColumnFormula>
    </tableColumn>
    <tableColumn id="18" xr3:uid="{00000000-0010-0000-0300-000012000000}" name="Judge 4_x000a_Bernard Barač" dataDxfId="1235"/>
    <tableColumn id="36" xr3:uid="{00000000-0010-0000-0300-000024000000}" name="J4 (-)" dataDxfId="1234"/>
    <tableColumn id="31" xr3:uid="{00000000-0010-0000-0300-00001F000000}" name="J4 TOTAL" dataDxfId="1233">
      <calculatedColumnFormula>Twirling_Solo_Program2891011121314151617185253[[#This Row],[Judge 4
Bernard Barač]]-V2</calculatedColumnFormula>
    </tableColumn>
    <tableColumn id="7" xr3:uid="{00000000-0010-0000-0300-000007000000}" name="J4 (Rank)" dataDxfId="1232">
      <calculatedColumnFormula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Row],[Category]],Twirling_Solo_Program2891011121314151617185253[J4 TOTAL],"&gt;"&amp;Twirling_Solo_Program2891011121314151617185253[[#This Row],[J4 TOTAL]])+1</calculatedColumnFormula>
    </tableColumn>
    <tableColumn id="20" xr3:uid="{00000000-0010-0000-0300-000014000000}" name="Total" dataDxfId="1231">
      <calculatedColumnFormula>SUM(Twirling_Solo_Program2891011121314151617185253[[#This Row],[J1 TOTAL]]+Twirling_Solo_Program2891011121314151617185253[[#This Row],[J2 TOTAL]]+Twirling_Solo_Program2891011121314151617185253[[#This Row],[J3 TOTAL]]+Twirling_Solo_Program2891011121314151617185253[[#This Row],[J4 TOTAL]])</calculatedColumnFormula>
    </tableColumn>
    <tableColumn id="23" xr3:uid="{00000000-0010-0000-0300-000017000000}" name="Low" dataDxfId="1230"/>
    <tableColumn id="19" xr3:uid="{00000000-0010-0000-0300-000013000000}" name="High" dataDxfId="1229"/>
    <tableColumn id="25" xr3:uid="{00000000-0010-0000-0300-000019000000}" name="Final Total" dataDxfId="1228">
      <calculatedColumnFormula>SUM(Twirling_Solo_Program2891011121314151617185253[[#This Row],[Total]]-Twirling_Solo_Program2891011121314151617185253[[#This Row],[Low]]-Twirling_Solo_Program2891011121314151617185253[[#This Row],[High]])</calculatedColumnFormula>
    </tableColumn>
    <tableColumn id="24" xr3:uid="{00000000-0010-0000-0300-000018000000}" name="Avg" dataDxfId="1227">
      <calculatedColumnFormula>AVERAGE(I2,M2,Q2,U2)</calculatedColumnFormula>
    </tableColumn>
    <tableColumn id="22" xr3:uid="{00000000-0010-0000-0300-000016000000}" name="FINAL SCORE" dataDxfId="1226">
      <calculatedColumnFormula>Twirling_Solo_Program2891011121314151617185253[[#This Row],[Final Total]]</calculatedColumnFormula>
    </tableColumn>
    <tableColumn id="27" xr3:uid="{00000000-0010-0000-0300-00001B000000}" name="Rank" dataDxfId="1225">
      <calculatedColumnFormula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Row],[Category]],Twirling_Solo_Program2891011121314151617185253[FINAL SCORE],"&gt;"&amp;Twirling_Solo_Program2891011121314151617185253[[#This Row],[FINAL SCORE]])+1</calculatedColumnFormula>
    </tableColumn>
    <tableColumn id="39" xr3:uid="{00000000-0010-0000-0300-000027000000}" name="Category Type" dataDxfId="122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1D000000}" name="Twirling_Solo_Program28910111213141516171852535455565758606163656768697273747576777879" displayName="Twirling_Solo_Program28910111213141516171852535455565758606163656768697273747576777879" ref="A1:AF7" totalsRowShown="0" headerRowDxfId="339" dataDxfId="338">
  <autoFilter ref="A1:AF7" xr:uid="{00000000-0009-0000-0100-00004E000000}"/>
  <sortState xmlns:xlrd2="http://schemas.microsoft.com/office/spreadsheetml/2017/richdata2" ref="A2:AF7">
    <sortCondition ref="AE2:AE7"/>
  </sortState>
  <tableColumns count="32">
    <tableColumn id="1" xr3:uid="{00000000-0010-0000-1D00-000001000000}" name="Start No." dataDxfId="337"/>
    <tableColumn id="8" xr3:uid="{00000000-0010-0000-1D00-000008000000}" name="Lane" dataDxfId="336"/>
    <tableColumn id="9" xr3:uid="{00000000-0010-0000-1D00-000009000000}" name="Category" dataDxfId="335"/>
    <tableColumn id="32" xr3:uid="{00000000-0010-0000-1D00-000020000000}" name="Age_x000a_Division" dataDxfId="334"/>
    <tableColumn id="40" xr3:uid="{00000000-0010-0000-1D00-000028000000}" name="Level" dataDxfId="333"/>
    <tableColumn id="4" xr3:uid="{00000000-0010-0000-1D00-000004000000}" name="Athlete" dataDxfId="332"/>
    <tableColumn id="38" xr3:uid="{00000000-0010-0000-1D00-000026000000}" name="Club" dataDxfId="331"/>
    <tableColumn id="37" xr3:uid="{00000000-0010-0000-1D00-000025000000}" name="Country" dataDxfId="330"/>
    <tableColumn id="15" xr3:uid="{00000000-0010-0000-1D00-00000F000000}" name="Judge 1_x000a_Tamara Beljak" dataDxfId="329"/>
    <tableColumn id="33" xr3:uid="{00000000-0010-0000-1D00-000021000000}" name="J1 (-)" dataDxfId="328"/>
    <tableColumn id="26" xr3:uid="{00000000-0010-0000-1D00-00001A000000}" name="J1 TOTAL" dataDxfId="327">
      <calculatedColumnFormula>Twirling_Solo_Program28910111213141516171852535455565758606163656768697273747576777879[[#This Row],[Judge 1
Tamara Beljak]]-J2</calculatedColumnFormula>
    </tableColumn>
    <tableColumn id="3" xr3:uid="{00000000-0010-0000-1D00-000003000000}" name="J1 (Rank)" dataDxfId="326">
      <calculatedColumnFormula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Row],[Category]],Twirling_Solo_Program28910111213141516171852535455565758606163656768697273747576777879[J1 TOTAL],"&gt;"&amp;Twirling_Solo_Program28910111213141516171852535455565758606163656768697273747576777879[[#This Row],[J1 TOTAL]])+1</calculatedColumnFormula>
    </tableColumn>
    <tableColumn id="16" xr3:uid="{00000000-0010-0000-1D00-000010000000}" name="Judge 2_x000a_Tihomir Bendelja" dataDxfId="325"/>
    <tableColumn id="34" xr3:uid="{00000000-0010-0000-1D00-000022000000}" name="J2 (-)" dataDxfId="324"/>
    <tableColumn id="28" xr3:uid="{00000000-0010-0000-1D00-00001C000000}" name="J2 TOTAL" dataDxfId="323">
      <calculatedColumnFormula>Twirling_Solo_Program28910111213141516171852535455565758606163656768697273747576777879[[#This Row],[Judge 2
Tihomir Bendelja]]-Twirling_Solo_Program28910111213141516171852535455565758606163656768697273747576777879[[#This Row],[J2 (-)]]</calculatedColumnFormula>
    </tableColumn>
    <tableColumn id="5" xr3:uid="{00000000-0010-0000-1D00-000005000000}" name="J2 (Rank)" dataDxfId="322">
      <calculatedColumnFormula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Row],[Category]],Twirling_Solo_Program28910111213141516171852535455565758606163656768697273747576777879[J2 TOTAL],"&gt;"&amp;Twirling_Solo_Program28910111213141516171852535455565758606163656768697273747576777879[[#This Row],[J2 TOTAL]])+1</calculatedColumnFormula>
    </tableColumn>
    <tableColumn id="17" xr3:uid="{00000000-0010-0000-1D00-000011000000}" name="Judge 3_x000a_Barbara Novina" dataDxfId="321"/>
    <tableColumn id="35" xr3:uid="{00000000-0010-0000-1D00-000023000000}" name="J3 (-)" dataDxfId="320"/>
    <tableColumn id="30" xr3:uid="{00000000-0010-0000-1D00-00001E000000}" name="J3 TOTAL" dataDxfId="319">
      <calculatedColumnFormula>Twirling_Solo_Program28910111213141516171852535455565758606163656768697273747576777879[[#This Row],[Judge 3
Barbara Novina]]-R2</calculatedColumnFormula>
    </tableColumn>
    <tableColumn id="6" xr3:uid="{00000000-0010-0000-1D00-000006000000}" name="J3 (Rank)" dataDxfId="318">
      <calculatedColumnFormula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Row],[Category]],Twirling_Solo_Program28910111213141516171852535455565758606163656768697273747576777879[J3 TOTAL],"&gt;"&amp;Twirling_Solo_Program28910111213141516171852535455565758606163656768697273747576777879[[#This Row],[J3 TOTAL]])+1</calculatedColumnFormula>
    </tableColumn>
    <tableColumn id="18" xr3:uid="{00000000-0010-0000-1D00-000012000000}" name="Judge 4_x000a_Bernard Barač" dataDxfId="317"/>
    <tableColumn id="36" xr3:uid="{00000000-0010-0000-1D00-000024000000}" name="J4 (-)" dataDxfId="316"/>
    <tableColumn id="31" xr3:uid="{00000000-0010-0000-1D00-00001F000000}" name="J4 TOTAL" dataDxfId="315">
      <calculatedColumnFormula>Twirling_Solo_Program28910111213141516171852535455565758606163656768697273747576777879[[#This Row],[Judge 4
Bernard Barač]]-V2</calculatedColumnFormula>
    </tableColumn>
    <tableColumn id="7" xr3:uid="{00000000-0010-0000-1D00-000007000000}" name="J4 (Rank)" dataDxfId="314">
      <calculatedColumnFormula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Row],[Category]],Twirling_Solo_Program28910111213141516171852535455565758606163656768697273747576777879[J4 TOTAL],"&gt;"&amp;Twirling_Solo_Program28910111213141516171852535455565758606163656768697273747576777879[[#This Row],[J4 TOTAL]])+1</calculatedColumnFormula>
    </tableColumn>
    <tableColumn id="20" xr3:uid="{00000000-0010-0000-1D00-000014000000}" name="Total" dataDxfId="313">
      <calculatedColumnFormula>SUM(Twirling_Solo_Program28910111213141516171852535455565758606163656768697273747576777879[[#This Row],[J1 TOTAL]]+Twirling_Solo_Program28910111213141516171852535455565758606163656768697273747576777879[[#This Row],[J2 TOTAL]]+Twirling_Solo_Program28910111213141516171852535455565758606163656768697273747576777879[[#This Row],[J3 TOTAL]]+Twirling_Solo_Program28910111213141516171852535455565758606163656768697273747576777879[[#This Row],[J4 TOTAL]])</calculatedColumnFormula>
    </tableColumn>
    <tableColumn id="23" xr3:uid="{00000000-0010-0000-1D00-000017000000}" name="Low" dataDxfId="312"/>
    <tableColumn id="19" xr3:uid="{00000000-0010-0000-1D00-000013000000}" name="High" dataDxfId="311"/>
    <tableColumn id="25" xr3:uid="{00000000-0010-0000-1D00-000019000000}" name="Final Total" dataDxfId="310">
      <calculatedColumnFormula>SUM(Twirling_Solo_Program28910111213141516171852535455565758606163656768697273747576777879[[#This Row],[Total]]-Twirling_Solo_Program28910111213141516171852535455565758606163656768697273747576777879[[#This Row],[Low]]-Twirling_Solo_Program28910111213141516171852535455565758606163656768697273747576777879[[#This Row],[High]])</calculatedColumnFormula>
    </tableColumn>
    <tableColumn id="24" xr3:uid="{00000000-0010-0000-1D00-000018000000}" name="Avg" dataDxfId="309">
      <calculatedColumnFormula>AVERAGE(I2,M2,Q2,U2)</calculatedColumnFormula>
    </tableColumn>
    <tableColumn id="22" xr3:uid="{00000000-0010-0000-1D00-000016000000}" name="FINAL SCORE" dataDxfId="308">
      <calculatedColumnFormula>Twirling_Solo_Program28910111213141516171852535455565758606163656768697273747576777879[[#This Row],[Final Total]]</calculatedColumnFormula>
    </tableColumn>
    <tableColumn id="27" xr3:uid="{00000000-0010-0000-1D00-00001B000000}" name="Rank" dataDxfId="307">
      <calculatedColumnFormula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Row],[Category]],Twirling_Solo_Program28910111213141516171852535455565758606163656768697273747576777879[FINAL SCORE],"&gt;"&amp;Twirling_Solo_Program28910111213141516171852535455565758606163656768697273747576777879[[#This Row],[FINAL SCORE]])+1</calculatedColumnFormula>
    </tableColumn>
    <tableColumn id="39" xr3:uid="{00000000-0010-0000-1D00-000027000000}" name="Category Type" dataDxfId="30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1E000000}" name="Twirling_Solo_Program2891011121314151617185253545556575860616365676869727374757677787980" displayName="Twirling_Solo_Program2891011121314151617185253545556575860616365676869727374757677787980" ref="A1:AF2" totalsRowShown="0" headerRowDxfId="305" dataDxfId="304">
  <autoFilter ref="A1:AF2" xr:uid="{00000000-0009-0000-0100-00004F000000}"/>
  <tableColumns count="32">
    <tableColumn id="1" xr3:uid="{00000000-0010-0000-1E00-000001000000}" name="Start No." dataDxfId="303"/>
    <tableColumn id="8" xr3:uid="{00000000-0010-0000-1E00-000008000000}" name="Lane" dataDxfId="302"/>
    <tableColumn id="9" xr3:uid="{00000000-0010-0000-1E00-000009000000}" name="Category" dataDxfId="301"/>
    <tableColumn id="32" xr3:uid="{00000000-0010-0000-1E00-000020000000}" name="Age_x000a_Division" dataDxfId="300"/>
    <tableColumn id="40" xr3:uid="{00000000-0010-0000-1E00-000028000000}" name="Level" dataDxfId="299"/>
    <tableColumn id="4" xr3:uid="{00000000-0010-0000-1E00-000004000000}" name="Athlete" dataDxfId="298"/>
    <tableColumn id="38" xr3:uid="{00000000-0010-0000-1E00-000026000000}" name="Club" dataDxfId="297"/>
    <tableColumn id="37" xr3:uid="{00000000-0010-0000-1E00-000025000000}" name="Country" dataDxfId="296"/>
    <tableColumn id="15" xr3:uid="{00000000-0010-0000-1E00-00000F000000}" name="Judge 1_x000a_Tamara Beljak" dataDxfId="295"/>
    <tableColumn id="33" xr3:uid="{00000000-0010-0000-1E00-000021000000}" name="J1 (-)" dataDxfId="294"/>
    <tableColumn id="26" xr3:uid="{00000000-0010-0000-1E00-00001A000000}" name="J1 TOTAL" dataDxfId="293">
      <calculatedColumnFormula>Twirling_Solo_Program2891011121314151617185253545556575860616365676869727374757677787980[[#This Row],[Judge 1
Tamara Beljak]]-J2</calculatedColumnFormula>
    </tableColumn>
    <tableColumn id="3" xr3:uid="{00000000-0010-0000-1E00-000003000000}" name="J1 (Rank)" dataDxfId="292">
      <calculatedColumnFormula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Row],[Category]],Twirling_Solo_Program2891011121314151617185253545556575860616365676869727374757677787980[J1 TOTAL],"&gt;"&amp;Twirling_Solo_Program2891011121314151617185253545556575860616365676869727374757677787980[[#This Row],[J1 TOTAL]])+1</calculatedColumnFormula>
    </tableColumn>
    <tableColumn id="16" xr3:uid="{00000000-0010-0000-1E00-000010000000}" name="Judge 2_x000a_Tihomir Bendelja" dataDxfId="291"/>
    <tableColumn id="34" xr3:uid="{00000000-0010-0000-1E00-000022000000}" name="J2 (-)" dataDxfId="290"/>
    <tableColumn id="28" xr3:uid="{00000000-0010-0000-1E00-00001C000000}" name="J2 TOTAL" dataDxfId="289">
      <calculatedColumnFormula>Twirling_Solo_Program2891011121314151617185253545556575860616365676869727374757677787980[[#This Row],[Judge 2
Tihomir Bendelja]]-Twirling_Solo_Program2891011121314151617185253545556575860616365676869727374757677787980[[#This Row],[J2 (-)]]</calculatedColumnFormula>
    </tableColumn>
    <tableColumn id="5" xr3:uid="{00000000-0010-0000-1E00-000005000000}" name="J2 (Rank)" dataDxfId="288">
      <calculatedColumnFormula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Row],[Category]],Twirling_Solo_Program2891011121314151617185253545556575860616365676869727374757677787980[J2 TOTAL],"&gt;"&amp;Twirling_Solo_Program2891011121314151617185253545556575860616365676869727374757677787980[[#This Row],[J2 TOTAL]])+1</calculatedColumnFormula>
    </tableColumn>
    <tableColumn id="17" xr3:uid="{00000000-0010-0000-1E00-000011000000}" name="Judge 3_x000a_Barbara Novina" dataDxfId="287"/>
    <tableColumn id="35" xr3:uid="{00000000-0010-0000-1E00-000023000000}" name="J3 (-)" dataDxfId="286"/>
    <tableColumn id="30" xr3:uid="{00000000-0010-0000-1E00-00001E000000}" name="J3 TOTAL" dataDxfId="285">
      <calculatedColumnFormula>Twirling_Solo_Program2891011121314151617185253545556575860616365676869727374757677787980[[#This Row],[Judge 3
Barbara Novina]]-R2</calculatedColumnFormula>
    </tableColumn>
    <tableColumn id="6" xr3:uid="{00000000-0010-0000-1E00-000006000000}" name="J3 (Rank)" dataDxfId="284">
      <calculatedColumnFormula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Row],[Category]],Twirling_Solo_Program2891011121314151617185253545556575860616365676869727374757677787980[J3 TOTAL],"&gt;"&amp;Twirling_Solo_Program2891011121314151617185253545556575860616365676869727374757677787980[[#This Row],[J3 TOTAL]])+1</calculatedColumnFormula>
    </tableColumn>
    <tableColumn id="18" xr3:uid="{00000000-0010-0000-1E00-000012000000}" name="Judge 4_x000a_Bernard Barač" dataDxfId="283"/>
    <tableColumn id="36" xr3:uid="{00000000-0010-0000-1E00-000024000000}" name="J4 (-)" dataDxfId="282"/>
    <tableColumn id="31" xr3:uid="{00000000-0010-0000-1E00-00001F000000}" name="J4 TOTAL" dataDxfId="281">
      <calculatedColumnFormula>Twirling_Solo_Program2891011121314151617185253545556575860616365676869727374757677787980[[#This Row],[Judge 4
Bernard Barač]]-V2</calculatedColumnFormula>
    </tableColumn>
    <tableColumn id="7" xr3:uid="{00000000-0010-0000-1E00-000007000000}" name="J4 (Rank)" dataDxfId="280">
      <calculatedColumnFormula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Row],[Category]],Twirling_Solo_Program2891011121314151617185253545556575860616365676869727374757677787980[J4 TOTAL],"&gt;"&amp;Twirling_Solo_Program2891011121314151617185253545556575860616365676869727374757677787980[[#This Row],[J4 TOTAL]])+1</calculatedColumnFormula>
    </tableColumn>
    <tableColumn id="20" xr3:uid="{00000000-0010-0000-1E00-000014000000}" name="Total" dataDxfId="279">
      <calculatedColumnFormula>SUM(Twirling_Solo_Program2891011121314151617185253545556575860616365676869727374757677787980[[#This Row],[J1 TOTAL]]+Twirling_Solo_Program2891011121314151617185253545556575860616365676869727374757677787980[[#This Row],[J2 TOTAL]]+Twirling_Solo_Program2891011121314151617185253545556575860616365676869727374757677787980[[#This Row],[J3 TOTAL]]+Twirling_Solo_Program2891011121314151617185253545556575860616365676869727374757677787980[[#This Row],[J4 TOTAL]])</calculatedColumnFormula>
    </tableColumn>
    <tableColumn id="23" xr3:uid="{00000000-0010-0000-1E00-000017000000}" name="Low" dataDxfId="278"/>
    <tableColumn id="19" xr3:uid="{00000000-0010-0000-1E00-000013000000}" name="High" dataDxfId="277"/>
    <tableColumn id="25" xr3:uid="{00000000-0010-0000-1E00-000019000000}" name="Final Total" dataDxfId="276">
      <calculatedColumnFormula>SUM(Twirling_Solo_Program2891011121314151617185253545556575860616365676869727374757677787980[[#This Row],[Total]]-Twirling_Solo_Program2891011121314151617185253545556575860616365676869727374757677787980[[#This Row],[Low]]-Twirling_Solo_Program2891011121314151617185253545556575860616365676869727374757677787980[[#This Row],[High]])</calculatedColumnFormula>
    </tableColumn>
    <tableColumn id="24" xr3:uid="{00000000-0010-0000-1E00-000018000000}" name="Avg" dataDxfId="275">
      <calculatedColumnFormula>AVERAGE(I2,M2,Q2,U2)</calculatedColumnFormula>
    </tableColumn>
    <tableColumn id="22" xr3:uid="{00000000-0010-0000-1E00-000016000000}" name="FINAL SCORE" dataDxfId="274">
      <calculatedColumnFormula>Twirling_Solo_Program2891011121314151617185253545556575860616365676869727374757677787980[[#This Row],[Final Total]]</calculatedColumnFormula>
    </tableColumn>
    <tableColumn id="27" xr3:uid="{00000000-0010-0000-1E00-00001B000000}" name="Rank" dataDxfId="273">
      <calculatedColumnFormula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Row],[Category]],Twirling_Solo_Program2891011121314151617185253545556575860616365676869727374757677787980[FINAL SCORE],"&gt;"&amp;Twirling_Solo_Program2891011121314151617185253545556575860616365676869727374757677787980[[#This Row],[FINAL SCORE]])+1</calculatedColumnFormula>
    </tableColumn>
    <tableColumn id="39" xr3:uid="{00000000-0010-0000-1E00-000027000000}" name="Category Type" dataDxfId="27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1F000000}" name="Twirling_Solo_Program289101112131415161718525354555657586061636567686972737475767778798081" displayName="Twirling_Solo_Program289101112131415161718525354555657586061636567686972737475767778798081" ref="A1:AF2" totalsRowShown="0" headerRowDxfId="271" dataDxfId="270">
  <autoFilter ref="A1:AF2" xr:uid="{00000000-0009-0000-0100-000050000000}"/>
  <tableColumns count="32">
    <tableColumn id="1" xr3:uid="{00000000-0010-0000-1F00-000001000000}" name="Start No." dataDxfId="269"/>
    <tableColumn id="8" xr3:uid="{00000000-0010-0000-1F00-000008000000}" name="Lane" dataDxfId="268"/>
    <tableColumn id="9" xr3:uid="{00000000-0010-0000-1F00-000009000000}" name="Category" dataDxfId="267"/>
    <tableColumn id="32" xr3:uid="{00000000-0010-0000-1F00-000020000000}" name="Age_x000a_Division" dataDxfId="266"/>
    <tableColumn id="40" xr3:uid="{00000000-0010-0000-1F00-000028000000}" name="Level" dataDxfId="265"/>
    <tableColumn id="4" xr3:uid="{00000000-0010-0000-1F00-000004000000}" name="Athlete" dataDxfId="264"/>
    <tableColumn id="38" xr3:uid="{00000000-0010-0000-1F00-000026000000}" name="Club" dataDxfId="263"/>
    <tableColumn id="37" xr3:uid="{00000000-0010-0000-1F00-000025000000}" name="Country" dataDxfId="262"/>
    <tableColumn id="15" xr3:uid="{00000000-0010-0000-1F00-00000F000000}" name="Judge 1_x000a_Tamara Beljak" dataDxfId="261"/>
    <tableColumn id="33" xr3:uid="{00000000-0010-0000-1F00-000021000000}" name="J1 (-)" dataDxfId="260"/>
    <tableColumn id="26" xr3:uid="{00000000-0010-0000-1F00-00001A000000}" name="J1 TOTAL" dataDxfId="259">
      <calculatedColumnFormula>Twirling_Solo_Program289101112131415161718525354555657586061636567686972737475767778798081[[#This Row],[Judge 1
Tamara Beljak]]-J2</calculatedColumnFormula>
    </tableColumn>
    <tableColumn id="3" xr3:uid="{00000000-0010-0000-1F00-000003000000}" name="J1 (Rank)" dataDxfId="258">
      <calculatedColumnFormula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Row],[Category]],Twirling_Solo_Program289101112131415161718525354555657586061636567686972737475767778798081[J1 TOTAL],"&gt;"&amp;Twirling_Solo_Program289101112131415161718525354555657586061636567686972737475767778798081[[#This Row],[J1 TOTAL]])+1</calculatedColumnFormula>
    </tableColumn>
    <tableColumn id="16" xr3:uid="{00000000-0010-0000-1F00-000010000000}" name="Judge 2_x000a_Tihomir Bendelja" dataDxfId="257"/>
    <tableColumn id="34" xr3:uid="{00000000-0010-0000-1F00-000022000000}" name="J2 (-)" dataDxfId="256"/>
    <tableColumn id="28" xr3:uid="{00000000-0010-0000-1F00-00001C000000}" name="J2 TOTAL" dataDxfId="255">
      <calculatedColumnFormula>Twirling_Solo_Program289101112131415161718525354555657586061636567686972737475767778798081[[#This Row],[Judge 2
Tihomir Bendelja]]-Twirling_Solo_Program289101112131415161718525354555657586061636567686972737475767778798081[[#This Row],[J2 (-)]]</calculatedColumnFormula>
    </tableColumn>
    <tableColumn id="5" xr3:uid="{00000000-0010-0000-1F00-000005000000}" name="J2 (Rank)" dataDxfId="254">
      <calculatedColumnFormula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Row],[Category]],Twirling_Solo_Program289101112131415161718525354555657586061636567686972737475767778798081[J2 TOTAL],"&gt;"&amp;Twirling_Solo_Program289101112131415161718525354555657586061636567686972737475767778798081[[#This Row],[J2 TOTAL]])+1</calculatedColumnFormula>
    </tableColumn>
    <tableColumn id="17" xr3:uid="{00000000-0010-0000-1F00-000011000000}" name="Judge 3_x000a_Barbara Novina" dataDxfId="253"/>
    <tableColumn id="35" xr3:uid="{00000000-0010-0000-1F00-000023000000}" name="J3 (-)" dataDxfId="252"/>
    <tableColumn id="30" xr3:uid="{00000000-0010-0000-1F00-00001E000000}" name="J3 TOTAL" dataDxfId="251">
      <calculatedColumnFormula>Twirling_Solo_Program289101112131415161718525354555657586061636567686972737475767778798081[[#This Row],[Judge 3
Barbara Novina]]-R2</calculatedColumnFormula>
    </tableColumn>
    <tableColumn id="6" xr3:uid="{00000000-0010-0000-1F00-000006000000}" name="J3 (Rank)" dataDxfId="250">
      <calculatedColumnFormula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Row],[Category]],Twirling_Solo_Program289101112131415161718525354555657586061636567686972737475767778798081[J3 TOTAL],"&gt;"&amp;Twirling_Solo_Program289101112131415161718525354555657586061636567686972737475767778798081[[#This Row],[J3 TOTAL]])+1</calculatedColumnFormula>
    </tableColumn>
    <tableColumn id="18" xr3:uid="{00000000-0010-0000-1F00-000012000000}" name="Judge 4_x000a_Bernard Barač" dataDxfId="249"/>
    <tableColumn id="36" xr3:uid="{00000000-0010-0000-1F00-000024000000}" name="J4 (-)" dataDxfId="248"/>
    <tableColumn id="31" xr3:uid="{00000000-0010-0000-1F00-00001F000000}" name="J4 TOTAL" dataDxfId="247">
      <calculatedColumnFormula>Twirling_Solo_Program289101112131415161718525354555657586061636567686972737475767778798081[[#This Row],[Judge 4
Bernard Barač]]-V2</calculatedColumnFormula>
    </tableColumn>
    <tableColumn id="7" xr3:uid="{00000000-0010-0000-1F00-000007000000}" name="J4 (Rank)" dataDxfId="246">
      <calculatedColumnFormula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Row],[Category]],Twirling_Solo_Program289101112131415161718525354555657586061636567686972737475767778798081[J4 TOTAL],"&gt;"&amp;Twirling_Solo_Program289101112131415161718525354555657586061636567686972737475767778798081[[#This Row],[J4 TOTAL]])+1</calculatedColumnFormula>
    </tableColumn>
    <tableColumn id="20" xr3:uid="{00000000-0010-0000-1F00-000014000000}" name="Total" dataDxfId="245">
      <calculatedColumnFormula>SUM(Twirling_Solo_Program289101112131415161718525354555657586061636567686972737475767778798081[[#This Row],[J1 TOTAL]]+Twirling_Solo_Program289101112131415161718525354555657586061636567686972737475767778798081[[#This Row],[J2 TOTAL]]+Twirling_Solo_Program289101112131415161718525354555657586061636567686972737475767778798081[[#This Row],[J3 TOTAL]]+Twirling_Solo_Program289101112131415161718525354555657586061636567686972737475767778798081[[#This Row],[J4 TOTAL]])</calculatedColumnFormula>
    </tableColumn>
    <tableColumn id="23" xr3:uid="{00000000-0010-0000-1F00-000017000000}" name="Low" dataDxfId="244">
      <calculatedColumnFormula>MIN(Twirling_Solo_Program289101112131415161718525354555657586061636567686972737475767778798081[[#This Row],[J1 TOTAL]],Twirling_Solo_Program289101112131415161718525354555657586061636567686972737475767778798081[[#This Row],[J2 TOTAL]],Twirling_Solo_Program289101112131415161718525354555657586061636567686972737475767778798081[[#This Row],[J3 TOTAL]],Twirling_Solo_Program289101112131415161718525354555657586061636567686972737475767778798081[[#This Row],[J4 TOTAL]])</calculatedColumnFormula>
    </tableColumn>
    <tableColumn id="19" xr3:uid="{00000000-0010-0000-1F00-000013000000}" name="High" dataDxfId="243">
      <calculatedColumnFormula>MAX(Twirling_Solo_Program289101112131415161718525354555657586061636567686972737475767778798081[[#This Row],[J1 TOTAL]],Twirling_Solo_Program289101112131415161718525354555657586061636567686972737475767778798081[[#This Row],[J2 TOTAL]],Twirling_Solo_Program289101112131415161718525354555657586061636567686972737475767778798081[[#This Row],[J3 TOTAL]],Twirling_Solo_Program289101112131415161718525354555657586061636567686972737475767778798081[[#This Row],[J4 TOTAL]])</calculatedColumnFormula>
    </tableColumn>
    <tableColumn id="25" xr3:uid="{00000000-0010-0000-1F00-000019000000}" name="Final Total" dataDxfId="242">
      <calculatedColumnFormula>SUM(Twirling_Solo_Program289101112131415161718525354555657586061636567686972737475767778798081[[#This Row],[Total]]-Twirling_Solo_Program289101112131415161718525354555657586061636567686972737475767778798081[[#This Row],[Low]]-Twirling_Solo_Program289101112131415161718525354555657586061636567686972737475767778798081[[#This Row],[High]])</calculatedColumnFormula>
    </tableColumn>
    <tableColumn id="24" xr3:uid="{00000000-0010-0000-1F00-000018000000}" name="Avg" dataDxfId="241">
      <calculatedColumnFormula>AVERAGE(I2,M2,Q2,U2)</calculatedColumnFormula>
    </tableColumn>
    <tableColumn id="22" xr3:uid="{00000000-0010-0000-1F00-000016000000}" name="FINAL SCORE" dataDxfId="240">
      <calculatedColumnFormula>Twirling_Solo_Program289101112131415161718525354555657586061636567686972737475767778798081[[#This Row],[Final Total]]</calculatedColumnFormula>
    </tableColumn>
    <tableColumn id="27" xr3:uid="{00000000-0010-0000-1F00-00001B000000}" name="Rank" dataDxfId="239">
      <calculatedColumnFormula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Row],[Category]],Twirling_Solo_Program289101112131415161718525354555657586061636567686972737475767778798081[FINAL SCORE],"&gt;"&amp;Twirling_Solo_Program289101112131415161718525354555657586061636567686972737475767778798081[[#This Row],[FINAL SCORE]])+1</calculatedColumnFormula>
    </tableColumn>
    <tableColumn id="39" xr3:uid="{00000000-0010-0000-1F00-000027000000}" name="Category Type" dataDxfId="23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20000000}" name="Twirling_Solo_Program28910111213141516171852535455565758606163656768697273747576777879808182" displayName="Twirling_Solo_Program28910111213141516171852535455565758606163656768697273747576777879808182" ref="A1:AF4" totalsRowShown="0" headerRowDxfId="237" dataDxfId="236">
  <autoFilter ref="A1:AF4" xr:uid="{00000000-0009-0000-0100-000051000000}"/>
  <sortState xmlns:xlrd2="http://schemas.microsoft.com/office/spreadsheetml/2017/richdata2" ref="A2:AF4">
    <sortCondition ref="AE2:AE4"/>
  </sortState>
  <tableColumns count="32">
    <tableColumn id="1" xr3:uid="{00000000-0010-0000-2000-000001000000}" name="Start No." dataDxfId="235"/>
    <tableColumn id="8" xr3:uid="{00000000-0010-0000-2000-000008000000}" name="Lane" dataDxfId="234"/>
    <tableColumn id="9" xr3:uid="{00000000-0010-0000-2000-000009000000}" name="Category" dataDxfId="233"/>
    <tableColumn id="32" xr3:uid="{00000000-0010-0000-2000-000020000000}" name="Age_x000a_Division" dataDxfId="232"/>
    <tableColumn id="40" xr3:uid="{00000000-0010-0000-2000-000028000000}" name="Level" dataDxfId="231"/>
    <tableColumn id="4" xr3:uid="{00000000-0010-0000-2000-000004000000}" name="Athlete" dataDxfId="230"/>
    <tableColumn id="38" xr3:uid="{00000000-0010-0000-2000-000026000000}" name="Club" dataDxfId="229"/>
    <tableColumn id="37" xr3:uid="{00000000-0010-0000-2000-000025000000}" name="Country" dataDxfId="228"/>
    <tableColumn id="15" xr3:uid="{00000000-0010-0000-2000-00000F000000}" name="Judge 1_x000a_Tamara Beljak" dataDxfId="227"/>
    <tableColumn id="33" xr3:uid="{00000000-0010-0000-2000-000021000000}" name="J1 (-)" dataDxfId="226"/>
    <tableColumn id="26" xr3:uid="{00000000-0010-0000-2000-00001A000000}" name="J1 TOTAL" dataDxfId="225">
      <calculatedColumnFormula>Twirling_Solo_Program28910111213141516171852535455565758606163656768697273747576777879808182[[#This Row],[Judge 1
Tamara Beljak]]-J2</calculatedColumnFormula>
    </tableColumn>
    <tableColumn id="3" xr3:uid="{00000000-0010-0000-2000-000003000000}" name="J1 (Rank)" dataDxfId="224">
      <calculatedColumnFormula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Row],[Category]],Twirling_Solo_Program28910111213141516171852535455565758606163656768697273747576777879808182[J1 TOTAL],"&gt;"&amp;Twirling_Solo_Program28910111213141516171852535455565758606163656768697273747576777879808182[[#This Row],[J1 TOTAL]])+1</calculatedColumnFormula>
    </tableColumn>
    <tableColumn id="16" xr3:uid="{00000000-0010-0000-2000-000010000000}" name="Judge 2_x000a_Tihomir Bendelja" dataDxfId="223"/>
    <tableColumn id="34" xr3:uid="{00000000-0010-0000-2000-000022000000}" name="J2 (-)" dataDxfId="222"/>
    <tableColumn id="28" xr3:uid="{00000000-0010-0000-2000-00001C000000}" name="J2 TOTAL" dataDxfId="221">
      <calculatedColumnFormula>Twirling_Solo_Program28910111213141516171852535455565758606163656768697273747576777879808182[[#This Row],[Judge 2
Tihomir Bendelja]]-Twirling_Solo_Program28910111213141516171852535455565758606163656768697273747576777879808182[[#This Row],[J2 (-)]]</calculatedColumnFormula>
    </tableColumn>
    <tableColumn id="5" xr3:uid="{00000000-0010-0000-2000-000005000000}" name="J2 (Rank)" dataDxfId="220">
      <calculatedColumnFormula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Row],[Category]],Twirling_Solo_Program28910111213141516171852535455565758606163656768697273747576777879808182[J2 TOTAL],"&gt;"&amp;Twirling_Solo_Program28910111213141516171852535455565758606163656768697273747576777879808182[[#This Row],[J2 TOTAL]])+1</calculatedColumnFormula>
    </tableColumn>
    <tableColumn id="17" xr3:uid="{00000000-0010-0000-2000-000011000000}" name="Judge 3_x000a_Barbara Novina" dataDxfId="219"/>
    <tableColumn id="35" xr3:uid="{00000000-0010-0000-2000-000023000000}" name="J3 (-)" dataDxfId="218"/>
    <tableColumn id="30" xr3:uid="{00000000-0010-0000-2000-00001E000000}" name="J3 TOTAL" dataDxfId="217">
      <calculatedColumnFormula>Twirling_Solo_Program28910111213141516171852535455565758606163656768697273747576777879808182[[#This Row],[Judge 3
Barbara Novina]]-R2</calculatedColumnFormula>
    </tableColumn>
    <tableColumn id="6" xr3:uid="{00000000-0010-0000-2000-000006000000}" name="J3 (Rank)" dataDxfId="216">
      <calculatedColumnFormula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Row],[Category]],Twirling_Solo_Program28910111213141516171852535455565758606163656768697273747576777879808182[J3 TOTAL],"&gt;"&amp;Twirling_Solo_Program28910111213141516171852535455565758606163656768697273747576777879808182[[#This Row],[J3 TOTAL]])+1</calculatedColumnFormula>
    </tableColumn>
    <tableColumn id="18" xr3:uid="{00000000-0010-0000-2000-000012000000}" name="Judge 4_x000a_Bernard Barač" dataDxfId="215"/>
    <tableColumn id="36" xr3:uid="{00000000-0010-0000-2000-000024000000}" name="J4 (-)" dataDxfId="214"/>
    <tableColumn id="31" xr3:uid="{00000000-0010-0000-2000-00001F000000}" name="J4 TOTAL" dataDxfId="213">
      <calculatedColumnFormula>Twirling_Solo_Program28910111213141516171852535455565758606163656768697273747576777879808182[[#This Row],[Judge 4
Bernard Barač]]-V2</calculatedColumnFormula>
    </tableColumn>
    <tableColumn id="7" xr3:uid="{00000000-0010-0000-2000-000007000000}" name="J4 (Rank)" dataDxfId="212">
      <calculatedColumnFormula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Row],[Category]],Twirling_Solo_Program28910111213141516171852535455565758606163656768697273747576777879808182[J4 TOTAL],"&gt;"&amp;Twirling_Solo_Program28910111213141516171852535455565758606163656768697273747576777879808182[[#This Row],[J4 TOTAL]])+1</calculatedColumnFormula>
    </tableColumn>
    <tableColumn id="20" xr3:uid="{00000000-0010-0000-2000-000014000000}" name="Total" dataDxfId="211">
      <calculatedColumnFormula>SUM(Twirling_Solo_Program28910111213141516171852535455565758606163656768697273747576777879808182[[#This Row],[J1 TOTAL]]+Twirling_Solo_Program28910111213141516171852535455565758606163656768697273747576777879808182[[#This Row],[J2 TOTAL]]+Twirling_Solo_Program28910111213141516171852535455565758606163656768697273747576777879808182[[#This Row],[J3 TOTAL]]+Twirling_Solo_Program28910111213141516171852535455565758606163656768697273747576777879808182[[#This Row],[J4 TOTAL]])</calculatedColumnFormula>
    </tableColumn>
    <tableColumn id="23" xr3:uid="{00000000-0010-0000-2000-000017000000}" name="Low" dataDxfId="210">
      <calculatedColumnFormula>MIN(Twirling_Solo_Program28910111213141516171852535455565758606163656768697273747576777879808182[[#This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calculatedColumnFormula>
    </tableColumn>
    <tableColumn id="19" xr3:uid="{00000000-0010-0000-2000-000013000000}" name="High" dataDxfId="209">
      <calculatedColumnFormula>MAX(Twirling_Solo_Program28910111213141516171852535455565758606163656768697273747576777879808182[[#This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calculatedColumnFormula>
    </tableColumn>
    <tableColumn id="25" xr3:uid="{00000000-0010-0000-2000-000019000000}" name="Final Total" dataDxfId="208">
      <calculatedColumnFormula>SUM(Twirling_Solo_Program28910111213141516171852535455565758606163656768697273747576777879808182[[#This Row],[Total]]-Twirling_Solo_Program28910111213141516171852535455565758606163656768697273747576777879808182[[#This Row],[Low]]-Twirling_Solo_Program28910111213141516171852535455565758606163656768697273747576777879808182[[#This Row],[High]])</calculatedColumnFormula>
    </tableColumn>
    <tableColumn id="24" xr3:uid="{00000000-0010-0000-2000-000018000000}" name="Avg" dataDxfId="207">
      <calculatedColumnFormula>AVERAGE(I2,M2,Q2,U2)</calculatedColumnFormula>
    </tableColumn>
    <tableColumn id="22" xr3:uid="{00000000-0010-0000-2000-000016000000}" name="FINAL SCORE" dataDxfId="206">
      <calculatedColumnFormula>Twirling_Solo_Program28910111213141516171852535455565758606163656768697273747576777879808182[[#This Row],[Final Total]]</calculatedColumnFormula>
    </tableColumn>
    <tableColumn id="27" xr3:uid="{00000000-0010-0000-2000-00001B000000}" name="Rank" dataDxfId="205">
      <calculatedColumnFormula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Row],[Category]],Twirling_Solo_Program28910111213141516171852535455565758606163656768697273747576777879808182[FINAL SCORE],"&gt;"&amp;Twirling_Solo_Program28910111213141516171852535455565758606163656768697273747576777879808182[[#This Row],[FINAL SCORE]])+1</calculatedColumnFormula>
    </tableColumn>
    <tableColumn id="39" xr3:uid="{00000000-0010-0000-2000-000027000000}" name="Category Type" dataDxfId="204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21000000}" name="Twirling_Solo_Program2891011121314151617185253545556575860616365676869727374757677787980818283" displayName="Twirling_Solo_Program2891011121314151617185253545556575860616365676869727374757677787980818283" ref="A1:AF7" totalsRowShown="0" headerRowDxfId="203" dataDxfId="202">
  <autoFilter ref="A1:AF7" xr:uid="{00000000-0009-0000-0100-000052000000}"/>
  <sortState xmlns:xlrd2="http://schemas.microsoft.com/office/spreadsheetml/2017/richdata2" ref="A2:AF7">
    <sortCondition ref="AE2:AE7"/>
  </sortState>
  <tableColumns count="32">
    <tableColumn id="1" xr3:uid="{00000000-0010-0000-2100-000001000000}" name="Start No." dataDxfId="201"/>
    <tableColumn id="8" xr3:uid="{00000000-0010-0000-2100-000008000000}" name="Lane" dataDxfId="200"/>
    <tableColumn id="9" xr3:uid="{00000000-0010-0000-2100-000009000000}" name="Category" dataDxfId="199"/>
    <tableColumn id="32" xr3:uid="{00000000-0010-0000-2100-000020000000}" name="Age_x000a_Division" dataDxfId="198"/>
    <tableColumn id="40" xr3:uid="{00000000-0010-0000-2100-000028000000}" name="Level" dataDxfId="197"/>
    <tableColumn id="4" xr3:uid="{00000000-0010-0000-2100-000004000000}" name="Athlete" dataDxfId="196"/>
    <tableColumn id="38" xr3:uid="{00000000-0010-0000-2100-000026000000}" name="Club" dataDxfId="195"/>
    <tableColumn id="37" xr3:uid="{00000000-0010-0000-2100-000025000000}" name="Country" dataDxfId="194"/>
    <tableColumn id="15" xr3:uid="{00000000-0010-0000-2100-00000F000000}" name="Judge 1_x000a_Tamara Beljak" dataDxfId="193"/>
    <tableColumn id="33" xr3:uid="{00000000-0010-0000-2100-000021000000}" name="J1 (-)" dataDxfId="192"/>
    <tableColumn id="26" xr3:uid="{00000000-0010-0000-2100-00001A000000}" name="J1 TOTAL" dataDxfId="191">
      <calculatedColumnFormula>Twirling_Solo_Program2891011121314151617185253545556575860616365676869727374757677787980818283[[#This Row],[Judge 1
Tamara Beljak]]-J2</calculatedColumnFormula>
    </tableColumn>
    <tableColumn id="3" xr3:uid="{00000000-0010-0000-2100-000003000000}" name="J1 (Rank)" dataDxfId="190">
      <calculatedColumnFormula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Row],[Category]],Twirling_Solo_Program2891011121314151617185253545556575860616365676869727374757677787980818283[J1 TOTAL],"&gt;"&amp;Twirling_Solo_Program2891011121314151617185253545556575860616365676869727374757677787980818283[[#This Row],[J1 TOTAL]])+1</calculatedColumnFormula>
    </tableColumn>
    <tableColumn id="16" xr3:uid="{00000000-0010-0000-2100-000010000000}" name="Judge 2_x000a_Tihomir Bendelja" dataDxfId="189"/>
    <tableColumn id="34" xr3:uid="{00000000-0010-0000-2100-000022000000}" name="J2 (-)" dataDxfId="188"/>
    <tableColumn id="28" xr3:uid="{00000000-0010-0000-2100-00001C000000}" name="J2 TOTAL" dataDxfId="187">
      <calculatedColumnFormula>Twirling_Solo_Program2891011121314151617185253545556575860616365676869727374757677787980818283[[#This Row],[Judge 2
Tihomir Bendelja]]-Twirling_Solo_Program2891011121314151617185253545556575860616365676869727374757677787980818283[[#This Row],[J2 (-)]]</calculatedColumnFormula>
    </tableColumn>
    <tableColumn id="5" xr3:uid="{00000000-0010-0000-2100-000005000000}" name="J2 (Rank)" dataDxfId="186">
      <calculatedColumnFormula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Row],[Category]],Twirling_Solo_Program2891011121314151617185253545556575860616365676869727374757677787980818283[J2 TOTAL],"&gt;"&amp;Twirling_Solo_Program2891011121314151617185253545556575860616365676869727374757677787980818283[[#This Row],[J2 TOTAL]])+1</calculatedColumnFormula>
    </tableColumn>
    <tableColumn id="17" xr3:uid="{00000000-0010-0000-2100-000011000000}" name="Judge 3_x000a_Barbara Novina" dataDxfId="185"/>
    <tableColumn id="35" xr3:uid="{00000000-0010-0000-2100-000023000000}" name="J3 (-)" dataDxfId="184"/>
    <tableColumn id="30" xr3:uid="{00000000-0010-0000-2100-00001E000000}" name="J3 TOTAL" dataDxfId="183">
      <calculatedColumnFormula>Twirling_Solo_Program2891011121314151617185253545556575860616365676869727374757677787980818283[[#This Row],[Judge 3
Barbara Novina]]-R2</calculatedColumnFormula>
    </tableColumn>
    <tableColumn id="6" xr3:uid="{00000000-0010-0000-2100-000006000000}" name="J3 (Rank)" dataDxfId="182">
      <calculatedColumnFormula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Row],[Category]],Twirling_Solo_Program2891011121314151617185253545556575860616365676869727374757677787980818283[J3 TOTAL],"&gt;"&amp;Twirling_Solo_Program2891011121314151617185253545556575860616365676869727374757677787980818283[[#This Row],[J3 TOTAL]])+1</calculatedColumnFormula>
    </tableColumn>
    <tableColumn id="18" xr3:uid="{00000000-0010-0000-2100-000012000000}" name="Judge 4_x000a_Bernard Barač" dataDxfId="181"/>
    <tableColumn id="36" xr3:uid="{00000000-0010-0000-2100-000024000000}" name="J4 (-)" dataDxfId="180"/>
    <tableColumn id="31" xr3:uid="{00000000-0010-0000-2100-00001F000000}" name="J4 TOTAL" dataDxfId="179">
      <calculatedColumnFormula>Twirling_Solo_Program2891011121314151617185253545556575860616365676869727374757677787980818283[[#This Row],[Judge 4
Bernard Barač]]-V2</calculatedColumnFormula>
    </tableColumn>
    <tableColumn id="7" xr3:uid="{00000000-0010-0000-2100-000007000000}" name="J4 (Rank)" dataDxfId="178">
      <calculatedColumnFormula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Row],[Category]],Twirling_Solo_Program2891011121314151617185253545556575860616365676869727374757677787980818283[J4 TOTAL],"&gt;"&amp;Twirling_Solo_Program2891011121314151617185253545556575860616365676869727374757677787980818283[[#This Row],[J4 TOTAL]])+1</calculatedColumnFormula>
    </tableColumn>
    <tableColumn id="20" xr3:uid="{00000000-0010-0000-2100-000014000000}" name="Total" dataDxfId="177">
      <calculatedColumnFormula>SUM(Twirling_Solo_Program2891011121314151617185253545556575860616365676869727374757677787980818283[[#This Row],[J1 TOTAL]]+Twirling_Solo_Program2891011121314151617185253545556575860616365676869727374757677787980818283[[#This Row],[J2 TOTAL]]+Twirling_Solo_Program2891011121314151617185253545556575860616365676869727374757677787980818283[[#This Row],[J3 TOTAL]]+Twirling_Solo_Program2891011121314151617185253545556575860616365676869727374757677787980818283[[#This Row],[J4 TOTAL]])</calculatedColumnFormula>
    </tableColumn>
    <tableColumn id="23" xr3:uid="{00000000-0010-0000-2100-000017000000}" name="Low" dataDxfId="176">
      <calculatedColumnFormula>MIN(Twirling_Solo_Program2891011121314151617185253545556575860616365676869727374757677787980818283[[#This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calculatedColumnFormula>
    </tableColumn>
    <tableColumn id="19" xr3:uid="{00000000-0010-0000-2100-000013000000}" name="High" dataDxfId="175">
      <calculatedColumnFormula>MAX(Twirling_Solo_Program2891011121314151617185253545556575860616365676869727374757677787980818283[[#This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calculatedColumnFormula>
    </tableColumn>
    <tableColumn id="25" xr3:uid="{00000000-0010-0000-2100-000019000000}" name="Final Total" dataDxfId="174">
      <calculatedColumnFormula>SUM(Twirling_Solo_Program2891011121314151617185253545556575860616365676869727374757677787980818283[[#This Row],[Total]]-Twirling_Solo_Program2891011121314151617185253545556575860616365676869727374757677787980818283[[#This Row],[Low]]-Twirling_Solo_Program2891011121314151617185253545556575860616365676869727374757677787980818283[[#This Row],[High]])</calculatedColumnFormula>
    </tableColumn>
    <tableColumn id="24" xr3:uid="{00000000-0010-0000-2100-000018000000}" name="Avg" dataDxfId="173">
      <calculatedColumnFormula>AVERAGE(I2,M2,Q2,U2)</calculatedColumnFormula>
    </tableColumn>
    <tableColumn id="22" xr3:uid="{00000000-0010-0000-2100-000016000000}" name="FINAL SCORE" dataDxfId="172">
      <calculatedColumnFormula>Twirling_Solo_Program2891011121314151617185253545556575860616365676869727374757677787980818283[[#This Row],[Final Total]]</calculatedColumnFormula>
    </tableColumn>
    <tableColumn id="27" xr3:uid="{00000000-0010-0000-2100-00001B000000}" name="Rank" dataDxfId="171">
      <calculatedColumnFormula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Row],[Category]],Twirling_Solo_Program2891011121314151617185253545556575860616365676869727374757677787980818283[FINAL SCORE],"&gt;"&amp;Twirling_Solo_Program2891011121314151617185253545556575860616365676869727374757677787980818283[[#This Row],[FINAL SCORE]])+1</calculatedColumnFormula>
    </tableColumn>
    <tableColumn id="39" xr3:uid="{00000000-0010-0000-2100-000027000000}" name="Category Type" dataDxfId="170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22000000}" name="Twirling_Solo_Program289101112131415161718525354555657586061636567686972737475767778798081828384" displayName="Twirling_Solo_Program289101112131415161718525354555657586061636567686972737475767778798081828384" ref="A1:AF2" totalsRowShown="0" headerRowDxfId="169" dataDxfId="168">
  <autoFilter ref="A1:AF2" xr:uid="{00000000-0009-0000-0100-000053000000}"/>
  <tableColumns count="32">
    <tableColumn id="1" xr3:uid="{00000000-0010-0000-2200-000001000000}" name="Start No." dataDxfId="167"/>
    <tableColumn id="8" xr3:uid="{00000000-0010-0000-2200-000008000000}" name="Lane" dataDxfId="166"/>
    <tableColumn id="9" xr3:uid="{00000000-0010-0000-2200-000009000000}" name="Category" dataDxfId="165"/>
    <tableColumn id="32" xr3:uid="{00000000-0010-0000-2200-000020000000}" name="Age_x000a_Division" dataDxfId="164"/>
    <tableColumn id="40" xr3:uid="{00000000-0010-0000-2200-000028000000}" name="Level" dataDxfId="163"/>
    <tableColumn id="4" xr3:uid="{00000000-0010-0000-2200-000004000000}" name="Athlete" dataDxfId="162"/>
    <tableColumn id="38" xr3:uid="{00000000-0010-0000-2200-000026000000}" name="Club" dataDxfId="161"/>
    <tableColumn id="37" xr3:uid="{00000000-0010-0000-2200-000025000000}" name="Country" dataDxfId="160"/>
    <tableColumn id="15" xr3:uid="{00000000-0010-0000-2200-00000F000000}" name="Judge 1_x000a_Tamara Beljak" dataDxfId="159"/>
    <tableColumn id="33" xr3:uid="{00000000-0010-0000-2200-000021000000}" name="J1 (-)" dataDxfId="158"/>
    <tableColumn id="26" xr3:uid="{00000000-0010-0000-2200-00001A000000}" name="J1 TOTAL" dataDxfId="157">
      <calculatedColumnFormula>Twirling_Solo_Program289101112131415161718525354555657586061636567686972737475767778798081828384[[#This Row],[Judge 1
Tamara Beljak]]-J2</calculatedColumnFormula>
    </tableColumn>
    <tableColumn id="3" xr3:uid="{00000000-0010-0000-2200-000003000000}" name="J1 (Rank)" dataDxfId="156">
      <calculatedColumnFormula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Row],[Category]],Twirling_Solo_Program289101112131415161718525354555657586061636567686972737475767778798081828384[J1 TOTAL],"&gt;"&amp;Twirling_Solo_Program289101112131415161718525354555657586061636567686972737475767778798081828384[[#This Row],[J1 TOTAL]])+1</calculatedColumnFormula>
    </tableColumn>
    <tableColumn id="16" xr3:uid="{00000000-0010-0000-2200-000010000000}" name="Judge 2_x000a_Tihomir Bendelja" dataDxfId="155"/>
    <tableColumn id="34" xr3:uid="{00000000-0010-0000-2200-000022000000}" name="J2 (-)" dataDxfId="154"/>
    <tableColumn id="28" xr3:uid="{00000000-0010-0000-2200-00001C000000}" name="J2 TOTAL" dataDxfId="153">
      <calculatedColumnFormula>Twirling_Solo_Program289101112131415161718525354555657586061636567686972737475767778798081828384[[#This Row],[Judge 2
Tihomir Bendelja]]-Twirling_Solo_Program289101112131415161718525354555657586061636567686972737475767778798081828384[[#This Row],[J2 (-)]]</calculatedColumnFormula>
    </tableColumn>
    <tableColumn id="5" xr3:uid="{00000000-0010-0000-2200-000005000000}" name="J2 (Rank)" dataDxfId="152">
      <calculatedColumnFormula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Row],[Category]],Twirling_Solo_Program289101112131415161718525354555657586061636567686972737475767778798081828384[J2 TOTAL],"&gt;"&amp;Twirling_Solo_Program289101112131415161718525354555657586061636567686972737475767778798081828384[[#This Row],[J2 TOTAL]])+1</calculatedColumnFormula>
    </tableColumn>
    <tableColumn id="17" xr3:uid="{00000000-0010-0000-2200-000011000000}" name="Judge 3_x000a_Barbara Novina" dataDxfId="151"/>
    <tableColumn id="35" xr3:uid="{00000000-0010-0000-2200-000023000000}" name="J3 (-)" dataDxfId="150"/>
    <tableColumn id="30" xr3:uid="{00000000-0010-0000-2200-00001E000000}" name="J3 TOTAL" dataDxfId="149">
      <calculatedColumnFormula>Twirling_Solo_Program289101112131415161718525354555657586061636567686972737475767778798081828384[[#This Row],[Judge 3
Barbara Novina]]-R2</calculatedColumnFormula>
    </tableColumn>
    <tableColumn id="6" xr3:uid="{00000000-0010-0000-2200-000006000000}" name="J3 (Rank)" dataDxfId="148">
      <calculatedColumnFormula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Row],[Category]],Twirling_Solo_Program289101112131415161718525354555657586061636567686972737475767778798081828384[J3 TOTAL],"&gt;"&amp;Twirling_Solo_Program289101112131415161718525354555657586061636567686972737475767778798081828384[[#This Row],[J3 TOTAL]])+1</calculatedColumnFormula>
    </tableColumn>
    <tableColumn id="18" xr3:uid="{00000000-0010-0000-2200-000012000000}" name="Judge 4_x000a_Bernard Barač" dataDxfId="147"/>
    <tableColumn id="36" xr3:uid="{00000000-0010-0000-2200-000024000000}" name="J4 (-)" dataDxfId="146"/>
    <tableColumn id="31" xr3:uid="{00000000-0010-0000-2200-00001F000000}" name="J4 TOTAL" dataDxfId="145">
      <calculatedColumnFormula>Twirling_Solo_Program289101112131415161718525354555657586061636567686972737475767778798081828384[[#This Row],[Judge 4
Bernard Barač]]-V2</calculatedColumnFormula>
    </tableColumn>
    <tableColumn id="7" xr3:uid="{00000000-0010-0000-2200-000007000000}" name="J4 (Rank)" dataDxfId="144">
      <calculatedColumnFormula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Row],[Category]],Twirling_Solo_Program289101112131415161718525354555657586061636567686972737475767778798081828384[J4 TOTAL],"&gt;"&amp;Twirling_Solo_Program289101112131415161718525354555657586061636567686972737475767778798081828384[[#This Row],[J4 TOTAL]])+1</calculatedColumnFormula>
    </tableColumn>
    <tableColumn id="20" xr3:uid="{00000000-0010-0000-2200-000014000000}" name="Total" dataDxfId="143">
      <calculatedColumnFormula>SUM(Twirling_Solo_Program289101112131415161718525354555657586061636567686972737475767778798081828384[[#This Row],[J1 TOTAL]]+Twirling_Solo_Program289101112131415161718525354555657586061636567686972737475767778798081828384[[#This Row],[J2 TOTAL]]+Twirling_Solo_Program289101112131415161718525354555657586061636567686972737475767778798081828384[[#This Row],[J3 TOTAL]]+Twirling_Solo_Program289101112131415161718525354555657586061636567686972737475767778798081828384[[#This Row],[J4 TOTAL]])</calculatedColumnFormula>
    </tableColumn>
    <tableColumn id="23" xr3:uid="{00000000-0010-0000-2200-000017000000}" name="Low" dataDxfId="142">
      <calculatedColumnFormula>MIN(Twirling_Solo_Program289101112131415161718525354555657586061636567686972737475767778798081828384[[#This Row],[J1 TOTAL]],Twirling_Solo_Program289101112131415161718525354555657586061636567686972737475767778798081828384[[#This Row],[J2 TOTAL]],Twirling_Solo_Program289101112131415161718525354555657586061636567686972737475767778798081828384[[#This Row],[J3 TOTAL]],Twirling_Solo_Program289101112131415161718525354555657586061636567686972737475767778798081828384[[#This Row],[J4 TOTAL]])</calculatedColumnFormula>
    </tableColumn>
    <tableColumn id="19" xr3:uid="{00000000-0010-0000-2200-000013000000}" name="High" dataDxfId="141">
      <calculatedColumnFormula>MAX(Twirling_Solo_Program289101112131415161718525354555657586061636567686972737475767778798081828384[[#This Row],[J1 TOTAL]],Twirling_Solo_Program289101112131415161718525354555657586061636567686972737475767778798081828384[[#This Row],[J2 TOTAL]],Twirling_Solo_Program289101112131415161718525354555657586061636567686972737475767778798081828384[[#This Row],[J3 TOTAL]],Twirling_Solo_Program289101112131415161718525354555657586061636567686972737475767778798081828384[[#This Row],[J4 TOTAL]])</calculatedColumnFormula>
    </tableColumn>
    <tableColumn id="25" xr3:uid="{00000000-0010-0000-2200-000019000000}" name="Final Total" dataDxfId="140">
      <calculatedColumnFormula>SUM(Twirling_Solo_Program289101112131415161718525354555657586061636567686972737475767778798081828384[[#This Row],[Total]]-Twirling_Solo_Program289101112131415161718525354555657586061636567686972737475767778798081828384[[#This Row],[Low]]-Twirling_Solo_Program289101112131415161718525354555657586061636567686972737475767778798081828384[[#This Row],[High]])</calculatedColumnFormula>
    </tableColumn>
    <tableColumn id="24" xr3:uid="{00000000-0010-0000-2200-000018000000}" name="Avg" dataDxfId="139">
      <calculatedColumnFormula>AVERAGE(I2,M2,Q2,U2)</calculatedColumnFormula>
    </tableColumn>
    <tableColumn id="22" xr3:uid="{00000000-0010-0000-2200-000016000000}" name="FINAL SCORE" dataDxfId="138">
      <calculatedColumnFormula>Twirling_Solo_Program289101112131415161718525354555657586061636567686972737475767778798081828384[[#This Row],[Final Total]]</calculatedColumnFormula>
    </tableColumn>
    <tableColumn id="27" xr3:uid="{00000000-0010-0000-2200-00001B000000}" name="Rank" dataDxfId="137">
      <calculatedColumnFormula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Row],[Category]],Twirling_Solo_Program289101112131415161718525354555657586061636567686972737475767778798081828384[FINAL SCORE],"&gt;"&amp;Twirling_Solo_Program289101112131415161718525354555657586061636567686972737475767778798081828384[[#This Row],[FINAL SCORE]])+1</calculatedColumnFormula>
    </tableColumn>
    <tableColumn id="39" xr3:uid="{00000000-0010-0000-2200-000027000000}" name="Category Type" dataDxfId="136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23000000}" name="Twirling_Solo_Program28910111213141516171852535455565758606163656768697273747576777879808182838485" displayName="Twirling_Solo_Program28910111213141516171852535455565758606163656768697273747576777879808182838485" ref="A1:AF2" totalsRowShown="0" headerRowDxfId="135" dataDxfId="134">
  <autoFilter ref="A1:AF2" xr:uid="{00000000-0009-0000-0100-000054000000}"/>
  <tableColumns count="32">
    <tableColumn id="1" xr3:uid="{00000000-0010-0000-2300-000001000000}" name="Start No." dataDxfId="133"/>
    <tableColumn id="8" xr3:uid="{00000000-0010-0000-2300-000008000000}" name="Lane" dataDxfId="132"/>
    <tableColumn id="9" xr3:uid="{00000000-0010-0000-2300-000009000000}" name="Category" dataDxfId="131"/>
    <tableColumn id="32" xr3:uid="{00000000-0010-0000-2300-000020000000}" name="Age_x000a_Division" dataDxfId="130"/>
    <tableColumn id="40" xr3:uid="{00000000-0010-0000-2300-000028000000}" name="Level" dataDxfId="129"/>
    <tableColumn id="4" xr3:uid="{00000000-0010-0000-2300-000004000000}" name="Athlete" dataDxfId="128"/>
    <tableColumn id="38" xr3:uid="{00000000-0010-0000-2300-000026000000}" name="Club" dataDxfId="127"/>
    <tableColumn id="37" xr3:uid="{00000000-0010-0000-2300-000025000000}" name="Country" dataDxfId="126"/>
    <tableColumn id="15" xr3:uid="{00000000-0010-0000-2300-00000F000000}" name="Judge 1_x000a_Tamara Beljak" dataDxfId="125"/>
    <tableColumn id="33" xr3:uid="{00000000-0010-0000-2300-000021000000}" name="J1 (-)" dataDxfId="124"/>
    <tableColumn id="26" xr3:uid="{00000000-0010-0000-2300-00001A000000}" name="J1 TOTAL" dataDxfId="123">
      <calculatedColumnFormula>Twirling_Solo_Program28910111213141516171852535455565758606163656768697273747576777879808182838485[[#This Row],[Judge 1
Tamara Beljak]]-J2</calculatedColumnFormula>
    </tableColumn>
    <tableColumn id="3" xr3:uid="{00000000-0010-0000-2300-000003000000}" name="J1 (Rank)" dataDxfId="122">
      <calculatedColumnFormula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Row],[Category]],Twirling_Solo_Program28910111213141516171852535455565758606163656768697273747576777879808182838485[J1 TOTAL],"&gt;"&amp;Twirling_Solo_Program28910111213141516171852535455565758606163656768697273747576777879808182838485[[#This Row],[J1 TOTAL]])+1</calculatedColumnFormula>
    </tableColumn>
    <tableColumn id="16" xr3:uid="{00000000-0010-0000-2300-000010000000}" name="Judge 2_x000a_Tihomir Bendelja" dataDxfId="121"/>
    <tableColumn id="34" xr3:uid="{00000000-0010-0000-2300-000022000000}" name="J2 (-)" dataDxfId="120"/>
    <tableColumn id="28" xr3:uid="{00000000-0010-0000-2300-00001C000000}" name="J2 TOTAL" dataDxfId="119">
      <calculatedColumnFormula>Twirling_Solo_Program28910111213141516171852535455565758606163656768697273747576777879808182838485[[#This Row],[Judge 2
Tihomir Bendelja]]-Twirling_Solo_Program28910111213141516171852535455565758606163656768697273747576777879808182838485[[#This Row],[J2 (-)]]</calculatedColumnFormula>
    </tableColumn>
    <tableColumn id="5" xr3:uid="{00000000-0010-0000-2300-000005000000}" name="J2 (Rank)" dataDxfId="118">
      <calculatedColumnFormula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Row],[Category]],Twirling_Solo_Program28910111213141516171852535455565758606163656768697273747576777879808182838485[J2 TOTAL],"&gt;"&amp;Twirling_Solo_Program28910111213141516171852535455565758606163656768697273747576777879808182838485[[#This Row],[J2 TOTAL]])+1</calculatedColumnFormula>
    </tableColumn>
    <tableColumn id="17" xr3:uid="{00000000-0010-0000-2300-000011000000}" name="Judge 3_x000a_Barbara Novina" dataDxfId="117"/>
    <tableColumn id="35" xr3:uid="{00000000-0010-0000-2300-000023000000}" name="J3 (-)" dataDxfId="116"/>
    <tableColumn id="30" xr3:uid="{00000000-0010-0000-2300-00001E000000}" name="J3 TOTAL" dataDxfId="115">
      <calculatedColumnFormula>Twirling_Solo_Program28910111213141516171852535455565758606163656768697273747576777879808182838485[[#This Row],[Judge 3
Barbara Novina]]-R2</calculatedColumnFormula>
    </tableColumn>
    <tableColumn id="6" xr3:uid="{00000000-0010-0000-2300-000006000000}" name="J3 (Rank)" dataDxfId="114">
      <calculatedColumnFormula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Row],[Category]],Twirling_Solo_Program28910111213141516171852535455565758606163656768697273747576777879808182838485[J3 TOTAL],"&gt;"&amp;Twirling_Solo_Program28910111213141516171852535455565758606163656768697273747576777879808182838485[[#This Row],[J3 TOTAL]])+1</calculatedColumnFormula>
    </tableColumn>
    <tableColumn id="18" xr3:uid="{00000000-0010-0000-2300-000012000000}" name="Judge 4_x000a_Bernard Barač" dataDxfId="113"/>
    <tableColumn id="36" xr3:uid="{00000000-0010-0000-2300-000024000000}" name="J4 (-)" dataDxfId="112"/>
    <tableColumn id="31" xr3:uid="{00000000-0010-0000-2300-00001F000000}" name="J4 TOTAL" dataDxfId="111">
      <calculatedColumnFormula>Twirling_Solo_Program28910111213141516171852535455565758606163656768697273747576777879808182838485[[#This Row],[Judge 4
Bernard Barač]]-V2</calculatedColumnFormula>
    </tableColumn>
    <tableColumn id="7" xr3:uid="{00000000-0010-0000-2300-000007000000}" name="J4 (Rank)" dataDxfId="110">
      <calculatedColumnFormula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Row],[Category]],Twirling_Solo_Program28910111213141516171852535455565758606163656768697273747576777879808182838485[J4 TOTAL],"&gt;"&amp;Twirling_Solo_Program28910111213141516171852535455565758606163656768697273747576777879808182838485[[#This Row],[J4 TOTAL]])+1</calculatedColumnFormula>
    </tableColumn>
    <tableColumn id="20" xr3:uid="{00000000-0010-0000-2300-000014000000}" name="Total" dataDxfId="109">
      <calculatedColumnFormula>SUM(Twirling_Solo_Program28910111213141516171852535455565758606163656768697273747576777879808182838485[[#This Row],[J1 TOTAL]]+Twirling_Solo_Program28910111213141516171852535455565758606163656768697273747576777879808182838485[[#This Row],[J2 TOTAL]]+Twirling_Solo_Program28910111213141516171852535455565758606163656768697273747576777879808182838485[[#This Row],[J3 TOTAL]]+Twirling_Solo_Program28910111213141516171852535455565758606163656768697273747576777879808182838485[[#This Row],[J4 TOTAL]])</calculatedColumnFormula>
    </tableColumn>
    <tableColumn id="23" xr3:uid="{00000000-0010-0000-2300-000017000000}" name="Low" dataDxfId="108">
      <calculatedColumnFormula>MIN(Twirling_Solo_Program28910111213141516171852535455565758606163656768697273747576777879808182838485[[#This Row],[J1 TOTAL]],Twirling_Solo_Program28910111213141516171852535455565758606163656768697273747576777879808182838485[[#This Row],[J2 TOTAL]],Twirling_Solo_Program28910111213141516171852535455565758606163656768697273747576777879808182838485[[#This Row],[J3 TOTAL]],Twirling_Solo_Program28910111213141516171852535455565758606163656768697273747576777879808182838485[[#This Row],[J4 TOTAL]])</calculatedColumnFormula>
    </tableColumn>
    <tableColumn id="19" xr3:uid="{00000000-0010-0000-2300-000013000000}" name="High" dataDxfId="107">
      <calculatedColumnFormula>MAX(Twirling_Solo_Program28910111213141516171852535455565758606163656768697273747576777879808182838485[[#This Row],[J1 TOTAL]],Twirling_Solo_Program28910111213141516171852535455565758606163656768697273747576777879808182838485[[#This Row],[J2 TOTAL]],Twirling_Solo_Program28910111213141516171852535455565758606163656768697273747576777879808182838485[[#This Row],[J3 TOTAL]],Twirling_Solo_Program28910111213141516171852535455565758606163656768697273747576777879808182838485[[#This Row],[J4 TOTAL]])</calculatedColumnFormula>
    </tableColumn>
    <tableColumn id="25" xr3:uid="{00000000-0010-0000-2300-000019000000}" name="Final Total" dataDxfId="106">
      <calculatedColumnFormula>SUM(Twirling_Solo_Program28910111213141516171852535455565758606163656768697273747576777879808182838485[[#This Row],[Total]]-Twirling_Solo_Program28910111213141516171852535455565758606163656768697273747576777879808182838485[[#This Row],[Low]]-Twirling_Solo_Program28910111213141516171852535455565758606163656768697273747576777879808182838485[[#This Row],[High]])</calculatedColumnFormula>
    </tableColumn>
    <tableColumn id="24" xr3:uid="{00000000-0010-0000-2300-000018000000}" name="Avg" dataDxfId="105">
      <calculatedColumnFormula>AVERAGE(I2,M2,Q2,U2)</calculatedColumnFormula>
    </tableColumn>
    <tableColumn id="22" xr3:uid="{00000000-0010-0000-2300-000016000000}" name="FINAL SCORE" dataDxfId="104">
      <calculatedColumnFormula>Twirling_Solo_Program28910111213141516171852535455565758606163656768697273747576777879808182838485[[#This Row],[Final Total]]</calculatedColumnFormula>
    </tableColumn>
    <tableColumn id="27" xr3:uid="{00000000-0010-0000-2300-00001B000000}" name="Rank" dataDxfId="103">
      <calculatedColumnFormula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Row],[Category]],Twirling_Solo_Program28910111213141516171852535455565758606163656768697273747576777879808182838485[FINAL SCORE],"&gt;"&amp;Twirling_Solo_Program28910111213141516171852535455565758606163656768697273747576777879808182838485[[#This Row],[FINAL SCORE]])+1</calculatedColumnFormula>
    </tableColumn>
    <tableColumn id="39" xr3:uid="{00000000-0010-0000-2300-000027000000}" name="Category Type" dataDxfId="10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24000000}" name="Twirling_Solo_Program2891011121314151617185253545556575860616365676869727374757677787980818283848586" displayName="Twirling_Solo_Program2891011121314151617185253545556575860616365676869727374757677787980818283848586" ref="A1:AF2" totalsRowShown="0" headerRowDxfId="101" dataDxfId="100">
  <autoFilter ref="A1:AF2" xr:uid="{00000000-0009-0000-0100-000055000000}"/>
  <tableColumns count="32">
    <tableColumn id="1" xr3:uid="{00000000-0010-0000-2400-000001000000}" name="Start No." dataDxfId="99"/>
    <tableColumn id="8" xr3:uid="{00000000-0010-0000-2400-000008000000}" name="Lane" dataDxfId="98"/>
    <tableColumn id="9" xr3:uid="{00000000-0010-0000-2400-000009000000}" name="Category" dataDxfId="97"/>
    <tableColumn id="32" xr3:uid="{00000000-0010-0000-2400-000020000000}" name="Age_x000a_Division" dataDxfId="96"/>
    <tableColumn id="40" xr3:uid="{00000000-0010-0000-2400-000028000000}" name="Level" dataDxfId="95"/>
    <tableColumn id="4" xr3:uid="{00000000-0010-0000-2400-000004000000}" name="Athlete" dataDxfId="94"/>
    <tableColumn id="38" xr3:uid="{00000000-0010-0000-2400-000026000000}" name="Club" dataDxfId="93"/>
    <tableColumn id="37" xr3:uid="{00000000-0010-0000-2400-000025000000}" name="Country" dataDxfId="92"/>
    <tableColumn id="15" xr3:uid="{00000000-0010-0000-2400-00000F000000}" name="Judge 1_x000a_Tamara Beljak" dataDxfId="91"/>
    <tableColumn id="33" xr3:uid="{00000000-0010-0000-2400-000021000000}" name="J1 (-)" dataDxfId="90"/>
    <tableColumn id="26" xr3:uid="{00000000-0010-0000-2400-00001A000000}" name="J1 TOTAL" dataDxfId="89">
      <calculatedColumnFormula>Twirling_Solo_Program2891011121314151617185253545556575860616365676869727374757677787980818283848586[[#This Row],[Judge 1
Tamara Beljak]]-J2</calculatedColumnFormula>
    </tableColumn>
    <tableColumn id="3" xr3:uid="{00000000-0010-0000-2400-000003000000}" name="J1 (Rank)" dataDxfId="88">
      <calculatedColumnFormula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Row],[Category]],Twirling_Solo_Program2891011121314151617185253545556575860616365676869727374757677787980818283848586[J1 TOTAL],"&gt;"&amp;Twirling_Solo_Program2891011121314151617185253545556575860616365676869727374757677787980818283848586[[#This Row],[J1 TOTAL]])+1</calculatedColumnFormula>
    </tableColumn>
    <tableColumn id="16" xr3:uid="{00000000-0010-0000-2400-000010000000}" name="Judge 2_x000a_Tihomir Bendelja" dataDxfId="87"/>
    <tableColumn id="34" xr3:uid="{00000000-0010-0000-2400-000022000000}" name="J2 (-)" dataDxfId="86"/>
    <tableColumn id="28" xr3:uid="{00000000-0010-0000-2400-00001C000000}" name="J2 TOTAL" dataDxfId="85">
      <calculatedColumnFormula>Twirling_Solo_Program2891011121314151617185253545556575860616365676869727374757677787980818283848586[[#This Row],[Judge 2
Tihomir Bendelja]]-Twirling_Solo_Program2891011121314151617185253545556575860616365676869727374757677787980818283848586[[#This Row],[J2 (-)]]</calculatedColumnFormula>
    </tableColumn>
    <tableColumn id="5" xr3:uid="{00000000-0010-0000-2400-000005000000}" name="J2 (Rank)" dataDxfId="84">
      <calculatedColumnFormula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Row],[Category]],Twirling_Solo_Program2891011121314151617185253545556575860616365676869727374757677787980818283848586[J2 TOTAL],"&gt;"&amp;Twirling_Solo_Program2891011121314151617185253545556575860616365676869727374757677787980818283848586[[#This Row],[J2 TOTAL]])+1</calculatedColumnFormula>
    </tableColumn>
    <tableColumn id="17" xr3:uid="{00000000-0010-0000-2400-000011000000}" name="Judge 3_x000a_Barbara Novina" dataDxfId="83"/>
    <tableColumn id="35" xr3:uid="{00000000-0010-0000-2400-000023000000}" name="J3 (-)" dataDxfId="82"/>
    <tableColumn id="30" xr3:uid="{00000000-0010-0000-2400-00001E000000}" name="J3 TOTAL" dataDxfId="81">
      <calculatedColumnFormula>Twirling_Solo_Program2891011121314151617185253545556575860616365676869727374757677787980818283848586[[#This Row],[Judge 3
Barbara Novina]]-R2</calculatedColumnFormula>
    </tableColumn>
    <tableColumn id="6" xr3:uid="{00000000-0010-0000-2400-000006000000}" name="J3 (Rank)" dataDxfId="80">
      <calculatedColumnFormula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Row],[Category]],Twirling_Solo_Program2891011121314151617185253545556575860616365676869727374757677787980818283848586[J3 TOTAL],"&gt;"&amp;Twirling_Solo_Program2891011121314151617185253545556575860616365676869727374757677787980818283848586[[#This Row],[J3 TOTAL]])+1</calculatedColumnFormula>
    </tableColumn>
    <tableColumn id="18" xr3:uid="{00000000-0010-0000-2400-000012000000}" name="Judge 4_x000a_Bernard Barač" dataDxfId="79"/>
    <tableColumn id="36" xr3:uid="{00000000-0010-0000-2400-000024000000}" name="J4 (-)" dataDxfId="78"/>
    <tableColumn id="31" xr3:uid="{00000000-0010-0000-2400-00001F000000}" name="J4 TOTAL" dataDxfId="77">
      <calculatedColumnFormula>Twirling_Solo_Program2891011121314151617185253545556575860616365676869727374757677787980818283848586[[#This Row],[Judge 4
Bernard Barač]]-V2</calculatedColumnFormula>
    </tableColumn>
    <tableColumn id="7" xr3:uid="{00000000-0010-0000-2400-000007000000}" name="J4 (Rank)" dataDxfId="76">
      <calculatedColumnFormula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Row],[Category]],Twirling_Solo_Program2891011121314151617185253545556575860616365676869727374757677787980818283848586[J4 TOTAL],"&gt;"&amp;Twirling_Solo_Program2891011121314151617185253545556575860616365676869727374757677787980818283848586[[#This Row],[J4 TOTAL]])+1</calculatedColumnFormula>
    </tableColumn>
    <tableColumn id="20" xr3:uid="{00000000-0010-0000-2400-000014000000}" name="Total" dataDxfId="75">
      <calculatedColumnFormula>SUM(Twirling_Solo_Program2891011121314151617185253545556575860616365676869727374757677787980818283848586[[#This Row],[J1 TOTAL]]+Twirling_Solo_Program2891011121314151617185253545556575860616365676869727374757677787980818283848586[[#This Row],[J2 TOTAL]]+Twirling_Solo_Program2891011121314151617185253545556575860616365676869727374757677787980818283848586[[#This Row],[J3 TOTAL]]+Twirling_Solo_Program2891011121314151617185253545556575860616365676869727374757677787980818283848586[[#This Row],[J4 TOTAL]])</calculatedColumnFormula>
    </tableColumn>
    <tableColumn id="23" xr3:uid="{00000000-0010-0000-2400-000017000000}" name="Low" dataDxfId="74">
      <calculatedColumnFormula>MIN(Twirling_Solo_Program2891011121314151617185253545556575860616365676869727374757677787980818283848586[[#This Row],[J1 TOTAL]],Twirling_Solo_Program2891011121314151617185253545556575860616365676869727374757677787980818283848586[[#This Row],[J2 TOTAL]],Twirling_Solo_Program2891011121314151617185253545556575860616365676869727374757677787980818283848586[[#This Row],[J3 TOTAL]],Twirling_Solo_Program2891011121314151617185253545556575860616365676869727374757677787980818283848586[[#This Row],[J4 TOTAL]])</calculatedColumnFormula>
    </tableColumn>
    <tableColumn id="19" xr3:uid="{00000000-0010-0000-2400-000013000000}" name="High" dataDxfId="73">
      <calculatedColumnFormula>MAX(Twirling_Solo_Program2891011121314151617185253545556575860616365676869727374757677787980818283848586[[#This Row],[J1 TOTAL]],Twirling_Solo_Program2891011121314151617185253545556575860616365676869727374757677787980818283848586[[#This Row],[J2 TOTAL]],Twirling_Solo_Program2891011121314151617185253545556575860616365676869727374757677787980818283848586[[#This Row],[J3 TOTAL]],Twirling_Solo_Program2891011121314151617185253545556575860616365676869727374757677787980818283848586[[#This Row],[J4 TOTAL]])</calculatedColumnFormula>
    </tableColumn>
    <tableColumn id="25" xr3:uid="{00000000-0010-0000-2400-000019000000}" name="Final Total" dataDxfId="72">
      <calculatedColumnFormula>SUM(Twirling_Solo_Program2891011121314151617185253545556575860616365676869727374757677787980818283848586[[#This Row],[Total]]-Twirling_Solo_Program2891011121314151617185253545556575860616365676869727374757677787980818283848586[[#This Row],[Low]]-Twirling_Solo_Program2891011121314151617185253545556575860616365676869727374757677787980818283848586[[#This Row],[High]])</calculatedColumnFormula>
    </tableColumn>
    <tableColumn id="24" xr3:uid="{00000000-0010-0000-2400-000018000000}" name="Avg" dataDxfId="71">
      <calculatedColumnFormula>AVERAGE(I2,M2,Q2,U2)</calculatedColumnFormula>
    </tableColumn>
    <tableColumn id="22" xr3:uid="{00000000-0010-0000-2400-000016000000}" name="FINAL SCORE" dataDxfId="70">
      <calculatedColumnFormula>Twirling_Solo_Program2891011121314151617185253545556575860616365676869727374757677787980818283848586[[#This Row],[Final Total]]</calculatedColumnFormula>
    </tableColumn>
    <tableColumn id="27" xr3:uid="{00000000-0010-0000-2400-00001B000000}" name="Rank" dataDxfId="69">
      <calculatedColumnFormula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Row],[Category]],Twirling_Solo_Program2891011121314151617185253545556575860616365676869727374757677787980818283848586[FINAL SCORE],"&gt;"&amp;Twirling_Solo_Program2891011121314151617185253545556575860616365676869727374757677787980818283848586[[#This Row],[FINAL SCORE]])+1</calculatedColumnFormula>
    </tableColumn>
    <tableColumn id="39" xr3:uid="{00000000-0010-0000-2400-000027000000}" name="Category Type" dataDxfId="68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25000000}" name="Twirling_Solo_Program289101112131415161718525354555657586061636567686972737475767778798081828384858687" displayName="Twirling_Solo_Program289101112131415161718525354555657586061636567686972737475767778798081828384858687" ref="A1:AF2" totalsRowShown="0" headerRowDxfId="67" dataDxfId="66">
  <autoFilter ref="A1:AF2" xr:uid="{00000000-0009-0000-0100-000056000000}"/>
  <tableColumns count="32">
    <tableColumn id="1" xr3:uid="{00000000-0010-0000-2500-000001000000}" name="Start No." dataDxfId="65"/>
    <tableColumn id="8" xr3:uid="{00000000-0010-0000-2500-000008000000}" name="Lane" dataDxfId="64"/>
    <tableColumn id="9" xr3:uid="{00000000-0010-0000-2500-000009000000}" name="Category" dataDxfId="63"/>
    <tableColumn id="32" xr3:uid="{00000000-0010-0000-2500-000020000000}" name="Age_x000a_Division" dataDxfId="62"/>
    <tableColumn id="40" xr3:uid="{00000000-0010-0000-2500-000028000000}" name="Level" dataDxfId="61"/>
    <tableColumn id="4" xr3:uid="{00000000-0010-0000-2500-000004000000}" name="Athlete" dataDxfId="60"/>
    <tableColumn id="38" xr3:uid="{00000000-0010-0000-2500-000026000000}" name="Club" dataDxfId="59"/>
    <tableColumn id="37" xr3:uid="{00000000-0010-0000-2500-000025000000}" name="Country" dataDxfId="58"/>
    <tableColumn id="15" xr3:uid="{00000000-0010-0000-2500-00000F000000}" name="Judge 1_x000a_Tamara Beljak" dataDxfId="57"/>
    <tableColumn id="33" xr3:uid="{00000000-0010-0000-2500-000021000000}" name="J1 (-)" dataDxfId="56"/>
    <tableColumn id="26" xr3:uid="{00000000-0010-0000-2500-00001A000000}" name="J1 TOTAL" dataDxfId="55">
      <calculatedColumnFormula>Twirling_Solo_Program289101112131415161718525354555657586061636567686972737475767778798081828384858687[[#This Row],[Judge 1
Tamara Beljak]]-J2</calculatedColumnFormula>
    </tableColumn>
    <tableColumn id="3" xr3:uid="{00000000-0010-0000-2500-000003000000}" name="J1 (Rank)" dataDxfId="54">
      <calculatedColumnFormula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Row],[Category]],Twirling_Solo_Program289101112131415161718525354555657586061636567686972737475767778798081828384858687[J1 TOTAL],"&gt;"&amp;Twirling_Solo_Program289101112131415161718525354555657586061636567686972737475767778798081828384858687[[#This Row],[J1 TOTAL]])+1</calculatedColumnFormula>
    </tableColumn>
    <tableColumn id="16" xr3:uid="{00000000-0010-0000-2500-000010000000}" name="Judge 2_x000a_Tihomir Bendelja" dataDxfId="53"/>
    <tableColumn id="34" xr3:uid="{00000000-0010-0000-2500-000022000000}" name="J2 (-)" dataDxfId="52"/>
    <tableColumn id="28" xr3:uid="{00000000-0010-0000-2500-00001C000000}" name="J2 TOTAL" dataDxfId="51">
      <calculatedColumnFormula>Twirling_Solo_Program289101112131415161718525354555657586061636567686972737475767778798081828384858687[[#This Row],[Judge 2
Tihomir Bendelja]]-Twirling_Solo_Program289101112131415161718525354555657586061636567686972737475767778798081828384858687[[#This Row],[J2 (-)]]</calculatedColumnFormula>
    </tableColumn>
    <tableColumn id="5" xr3:uid="{00000000-0010-0000-2500-000005000000}" name="J2 (Rank)" dataDxfId="50">
      <calculatedColumnFormula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Row],[Category]],Twirling_Solo_Program289101112131415161718525354555657586061636567686972737475767778798081828384858687[J2 TOTAL],"&gt;"&amp;Twirling_Solo_Program289101112131415161718525354555657586061636567686972737475767778798081828384858687[[#This Row],[J2 TOTAL]])+1</calculatedColumnFormula>
    </tableColumn>
    <tableColumn id="17" xr3:uid="{00000000-0010-0000-2500-000011000000}" name="Judge 3_x000a_Barbara Novina" dataDxfId="49"/>
    <tableColumn id="35" xr3:uid="{00000000-0010-0000-2500-000023000000}" name="J3 (-)" dataDxfId="48"/>
    <tableColumn id="30" xr3:uid="{00000000-0010-0000-2500-00001E000000}" name="J3 TOTAL" dataDxfId="47">
      <calculatedColumnFormula>Twirling_Solo_Program289101112131415161718525354555657586061636567686972737475767778798081828384858687[[#This Row],[Judge 3
Barbara Novina]]-R2</calculatedColumnFormula>
    </tableColumn>
    <tableColumn id="6" xr3:uid="{00000000-0010-0000-2500-000006000000}" name="J3 (Rank)" dataDxfId="46">
      <calculatedColumnFormula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Row],[Category]],Twirling_Solo_Program289101112131415161718525354555657586061636567686972737475767778798081828384858687[J3 TOTAL],"&gt;"&amp;Twirling_Solo_Program289101112131415161718525354555657586061636567686972737475767778798081828384858687[[#This Row],[J3 TOTAL]])+1</calculatedColumnFormula>
    </tableColumn>
    <tableColumn id="18" xr3:uid="{00000000-0010-0000-2500-000012000000}" name="Judge 4_x000a_Bernard Barač" dataDxfId="45"/>
    <tableColumn id="36" xr3:uid="{00000000-0010-0000-2500-000024000000}" name="J4 (-)" dataDxfId="44"/>
    <tableColumn id="31" xr3:uid="{00000000-0010-0000-2500-00001F000000}" name="J4 TOTAL" dataDxfId="43">
      <calculatedColumnFormula>Twirling_Solo_Program289101112131415161718525354555657586061636567686972737475767778798081828384858687[[#This Row],[Judge 4
Bernard Barač]]-V2</calculatedColumnFormula>
    </tableColumn>
    <tableColumn id="7" xr3:uid="{00000000-0010-0000-2500-000007000000}" name="J4 (Rank)" dataDxfId="42">
      <calculatedColumnFormula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Row],[Category]],Twirling_Solo_Program289101112131415161718525354555657586061636567686972737475767778798081828384858687[J4 TOTAL],"&gt;"&amp;Twirling_Solo_Program289101112131415161718525354555657586061636567686972737475767778798081828384858687[[#This Row],[J4 TOTAL]])+1</calculatedColumnFormula>
    </tableColumn>
    <tableColumn id="20" xr3:uid="{00000000-0010-0000-2500-000014000000}" name="Total" dataDxfId="41">
      <calculatedColumnFormula>SUM(Twirling_Solo_Program289101112131415161718525354555657586061636567686972737475767778798081828384858687[[#This Row],[J1 TOTAL]]+Twirling_Solo_Program289101112131415161718525354555657586061636567686972737475767778798081828384858687[[#This Row],[J2 TOTAL]]+Twirling_Solo_Program289101112131415161718525354555657586061636567686972737475767778798081828384858687[[#This Row],[J3 TOTAL]]+Twirling_Solo_Program289101112131415161718525354555657586061636567686972737475767778798081828384858687[[#This Row],[J4 TOTAL]])</calculatedColumnFormula>
    </tableColumn>
    <tableColumn id="23" xr3:uid="{00000000-0010-0000-2500-000017000000}" name="Low" dataDxfId="40">
      <calculatedColumnFormula>MIN(Twirling_Solo_Program289101112131415161718525354555657586061636567686972737475767778798081828384858687[[#This Row],[J1 TOTAL]],Twirling_Solo_Program289101112131415161718525354555657586061636567686972737475767778798081828384858687[[#This Row],[J2 TOTAL]],Twirling_Solo_Program289101112131415161718525354555657586061636567686972737475767778798081828384858687[[#This Row],[J3 TOTAL]],Twirling_Solo_Program289101112131415161718525354555657586061636567686972737475767778798081828384858687[[#This Row],[J4 TOTAL]])</calculatedColumnFormula>
    </tableColumn>
    <tableColumn id="19" xr3:uid="{00000000-0010-0000-2500-000013000000}" name="High" dataDxfId="39">
      <calculatedColumnFormula>MAX(Twirling_Solo_Program289101112131415161718525354555657586061636567686972737475767778798081828384858687[[#This Row],[J1 TOTAL]],Twirling_Solo_Program289101112131415161718525354555657586061636567686972737475767778798081828384858687[[#This Row],[J2 TOTAL]],Twirling_Solo_Program289101112131415161718525354555657586061636567686972737475767778798081828384858687[[#This Row],[J3 TOTAL]],Twirling_Solo_Program289101112131415161718525354555657586061636567686972737475767778798081828384858687[[#This Row],[J4 TOTAL]])</calculatedColumnFormula>
    </tableColumn>
    <tableColumn id="25" xr3:uid="{00000000-0010-0000-2500-000019000000}" name="Final Total" dataDxfId="38">
      <calculatedColumnFormula>SUM(Twirling_Solo_Program289101112131415161718525354555657586061636567686972737475767778798081828384858687[[#This Row],[Total]]-Twirling_Solo_Program289101112131415161718525354555657586061636567686972737475767778798081828384858687[[#This Row],[Low]]-Twirling_Solo_Program289101112131415161718525354555657586061636567686972737475767778798081828384858687[[#This Row],[High]])</calculatedColumnFormula>
    </tableColumn>
    <tableColumn id="24" xr3:uid="{00000000-0010-0000-2500-000018000000}" name="Avg" dataDxfId="37">
      <calculatedColumnFormula>AVERAGE(I2,M2,Q2,U2)</calculatedColumnFormula>
    </tableColumn>
    <tableColumn id="22" xr3:uid="{00000000-0010-0000-2500-000016000000}" name="FINAL SCORE" dataDxfId="36">
      <calculatedColumnFormula>Twirling_Solo_Program289101112131415161718525354555657586061636567686972737475767778798081828384858687[[#This Row],[Final Total]]</calculatedColumnFormula>
    </tableColumn>
    <tableColumn id="27" xr3:uid="{00000000-0010-0000-2500-00001B000000}" name="Rank" dataDxfId="35">
      <calculatedColumnFormula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Row],[Category]],Twirling_Solo_Program289101112131415161718525354555657586061636567686972737475767778798081828384858687[FINAL SCORE],"&gt;"&amp;Twirling_Solo_Program289101112131415161718525354555657586061636567686972737475767778798081828384858687[[#This Row],[FINAL SCORE]])+1</calculatedColumnFormula>
    </tableColumn>
    <tableColumn id="39" xr3:uid="{00000000-0010-0000-2500-000027000000}" name="Category Type" dataDxfId="34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26000000}" name="Twirling_Solo_Program28910111213141516171852535455565758606163656768697273747576777879808182838485868788" displayName="Twirling_Solo_Program28910111213141516171852535455565758606163656768697273747576777879808182838485868788" ref="A1:AF2" totalsRowShown="0" headerRowDxfId="33" dataDxfId="32">
  <autoFilter ref="A1:AF2" xr:uid="{00000000-0009-0000-0100-000057000000}"/>
  <tableColumns count="32">
    <tableColumn id="1" xr3:uid="{00000000-0010-0000-2600-000001000000}" name="Start No." dataDxfId="31"/>
    <tableColumn id="8" xr3:uid="{00000000-0010-0000-2600-000008000000}" name="Lane" dataDxfId="30"/>
    <tableColumn id="9" xr3:uid="{00000000-0010-0000-2600-000009000000}" name="Category" dataDxfId="29"/>
    <tableColumn id="32" xr3:uid="{00000000-0010-0000-2600-000020000000}" name="Age_x000a_Division" dataDxfId="28"/>
    <tableColumn id="40" xr3:uid="{00000000-0010-0000-2600-000028000000}" name="Level" dataDxfId="27"/>
    <tableColumn id="4" xr3:uid="{00000000-0010-0000-2600-000004000000}" name="Athlete" dataDxfId="26"/>
    <tableColumn id="38" xr3:uid="{00000000-0010-0000-2600-000026000000}" name="Club" dataDxfId="25"/>
    <tableColumn id="37" xr3:uid="{00000000-0010-0000-2600-000025000000}" name="Country" dataDxfId="24"/>
    <tableColumn id="15" xr3:uid="{00000000-0010-0000-2600-00000F000000}" name="Judge 1_x000a_Tamara Beljak" dataDxfId="23"/>
    <tableColumn id="33" xr3:uid="{00000000-0010-0000-2600-000021000000}" name="J1 (-)" dataDxfId="22"/>
    <tableColumn id="26" xr3:uid="{00000000-0010-0000-2600-00001A000000}" name="J1 TOTAL" dataDxfId="21">
      <calculatedColumnFormula>Twirling_Solo_Program28910111213141516171852535455565758606163656768697273747576777879808182838485868788[[#This Row],[Judge 1
Tamara Beljak]]-J2</calculatedColumnFormula>
    </tableColumn>
    <tableColumn id="3" xr3:uid="{00000000-0010-0000-2600-000003000000}" name="J1 (Rank)" dataDxfId="20">
      <calculatedColumnFormula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Row],[Category]],Twirling_Solo_Program28910111213141516171852535455565758606163656768697273747576777879808182838485868788[J1 TOTAL],"&gt;"&amp;Twirling_Solo_Program28910111213141516171852535455565758606163656768697273747576777879808182838485868788[[#This Row],[J1 TOTAL]])+1</calculatedColumnFormula>
    </tableColumn>
    <tableColumn id="16" xr3:uid="{00000000-0010-0000-2600-000010000000}" name="Judge 2_x000a_Tihomir Bendelja" dataDxfId="19"/>
    <tableColumn id="34" xr3:uid="{00000000-0010-0000-2600-000022000000}" name="J2 (-)" dataDxfId="18"/>
    <tableColumn id="28" xr3:uid="{00000000-0010-0000-2600-00001C000000}" name="J2 TOTAL" dataDxfId="17">
      <calculatedColumnFormula>Twirling_Solo_Program28910111213141516171852535455565758606163656768697273747576777879808182838485868788[[#This Row],[Judge 2
Tihomir Bendelja]]-Twirling_Solo_Program28910111213141516171852535455565758606163656768697273747576777879808182838485868788[[#This Row],[J2 (-)]]</calculatedColumnFormula>
    </tableColumn>
    <tableColumn id="5" xr3:uid="{00000000-0010-0000-2600-000005000000}" name="J2 (Rank)" dataDxfId="16">
      <calculatedColumnFormula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Row],[Category]],Twirling_Solo_Program28910111213141516171852535455565758606163656768697273747576777879808182838485868788[J2 TOTAL],"&gt;"&amp;Twirling_Solo_Program28910111213141516171852535455565758606163656768697273747576777879808182838485868788[[#This Row],[J2 TOTAL]])+1</calculatedColumnFormula>
    </tableColumn>
    <tableColumn id="17" xr3:uid="{00000000-0010-0000-2600-000011000000}" name="Judge 3_x000a_Barbara Novina" dataDxfId="15"/>
    <tableColumn id="35" xr3:uid="{00000000-0010-0000-2600-000023000000}" name="J3 (-)" dataDxfId="14"/>
    <tableColumn id="30" xr3:uid="{00000000-0010-0000-2600-00001E000000}" name="J3 TOTAL" dataDxfId="13">
      <calculatedColumnFormula>Twirling_Solo_Program28910111213141516171852535455565758606163656768697273747576777879808182838485868788[[#This Row],[Judge 3
Barbara Novina]]-R2</calculatedColumnFormula>
    </tableColumn>
    <tableColumn id="6" xr3:uid="{00000000-0010-0000-2600-000006000000}" name="J3 (Rank)" dataDxfId="12">
      <calculatedColumnFormula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Row],[Category]],Twirling_Solo_Program28910111213141516171852535455565758606163656768697273747576777879808182838485868788[J3 TOTAL],"&gt;"&amp;Twirling_Solo_Program28910111213141516171852535455565758606163656768697273747576777879808182838485868788[[#This Row],[J3 TOTAL]])+1</calculatedColumnFormula>
    </tableColumn>
    <tableColumn id="18" xr3:uid="{00000000-0010-0000-2600-000012000000}" name="Judge 4_x000a_Bernard Barač" dataDxfId="11"/>
    <tableColumn id="36" xr3:uid="{00000000-0010-0000-2600-000024000000}" name="J4 (-)" dataDxfId="10"/>
    <tableColumn id="31" xr3:uid="{00000000-0010-0000-2600-00001F000000}" name="J4 TOTAL" dataDxfId="9">
      <calculatedColumnFormula>Twirling_Solo_Program28910111213141516171852535455565758606163656768697273747576777879808182838485868788[[#This Row],[Judge 4
Bernard Barač]]-V2</calculatedColumnFormula>
    </tableColumn>
    <tableColumn id="7" xr3:uid="{00000000-0010-0000-2600-000007000000}" name="J4 (Rank)" dataDxfId="8">
      <calculatedColumnFormula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Row],[Category]],Twirling_Solo_Program28910111213141516171852535455565758606163656768697273747576777879808182838485868788[J4 TOTAL],"&gt;"&amp;Twirling_Solo_Program28910111213141516171852535455565758606163656768697273747576777879808182838485868788[[#This Row],[J4 TOTAL]])+1</calculatedColumnFormula>
    </tableColumn>
    <tableColumn id="20" xr3:uid="{00000000-0010-0000-2600-000014000000}" name="Total" dataDxfId="7">
      <calculatedColumnFormula>SUM(Twirling_Solo_Program28910111213141516171852535455565758606163656768697273747576777879808182838485868788[[#This Row],[J1 TOTAL]]+Twirling_Solo_Program28910111213141516171852535455565758606163656768697273747576777879808182838485868788[[#This Row],[J2 TOTAL]]+Twirling_Solo_Program28910111213141516171852535455565758606163656768697273747576777879808182838485868788[[#This Row],[J3 TOTAL]]+Twirling_Solo_Program28910111213141516171852535455565758606163656768697273747576777879808182838485868788[[#This Row],[J4 TOTAL]])</calculatedColumnFormula>
    </tableColumn>
    <tableColumn id="23" xr3:uid="{00000000-0010-0000-2600-000017000000}" name="Low" dataDxfId="6">
      <calculatedColumnFormula>MIN(Twirling_Solo_Program28910111213141516171852535455565758606163656768697273747576777879808182838485868788[[#This Row],[J1 TOTAL]],Twirling_Solo_Program28910111213141516171852535455565758606163656768697273747576777879808182838485868788[[#This Row],[J2 TOTAL]],Twirling_Solo_Program28910111213141516171852535455565758606163656768697273747576777879808182838485868788[[#This Row],[J3 TOTAL]],Twirling_Solo_Program28910111213141516171852535455565758606163656768697273747576777879808182838485868788[[#This Row],[J4 TOTAL]])</calculatedColumnFormula>
    </tableColumn>
    <tableColumn id="19" xr3:uid="{00000000-0010-0000-2600-000013000000}" name="High" dataDxfId="5">
      <calculatedColumnFormula>MAX(Twirling_Solo_Program28910111213141516171852535455565758606163656768697273747576777879808182838485868788[[#This Row],[J1 TOTAL]],Twirling_Solo_Program28910111213141516171852535455565758606163656768697273747576777879808182838485868788[[#This Row],[J2 TOTAL]],Twirling_Solo_Program28910111213141516171852535455565758606163656768697273747576777879808182838485868788[[#This Row],[J3 TOTAL]],Twirling_Solo_Program28910111213141516171852535455565758606163656768697273747576777879808182838485868788[[#This Row],[J4 TOTAL]])</calculatedColumnFormula>
    </tableColumn>
    <tableColumn id="25" xr3:uid="{00000000-0010-0000-2600-000019000000}" name="Final Total" dataDxfId="4">
      <calculatedColumnFormula>SUM(Twirling_Solo_Program28910111213141516171852535455565758606163656768697273747576777879808182838485868788[[#This Row],[Total]]-Twirling_Solo_Program28910111213141516171852535455565758606163656768697273747576777879808182838485868788[[#This Row],[Low]]-Twirling_Solo_Program28910111213141516171852535455565758606163656768697273747576777879808182838485868788[[#This Row],[High]])</calculatedColumnFormula>
    </tableColumn>
    <tableColumn id="24" xr3:uid="{00000000-0010-0000-2600-000018000000}" name="Avg" dataDxfId="3">
      <calculatedColumnFormula>AVERAGE(I2,M2,Q2,U2)</calculatedColumnFormula>
    </tableColumn>
    <tableColumn id="22" xr3:uid="{00000000-0010-0000-2600-000016000000}" name="FINAL SCORE" dataDxfId="2">
      <calculatedColumnFormula>Twirling_Solo_Program28910111213141516171852535455565758606163656768697273747576777879808182838485868788[[#This Row],[Final Total]]</calculatedColumnFormula>
    </tableColumn>
    <tableColumn id="27" xr3:uid="{00000000-0010-0000-2600-00001B000000}" name="Rank" dataDxfId="1">
      <calculatedColumnFormula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Row],[Category]],Twirling_Solo_Program28910111213141516171852535455565758606163656768697273747576777879808182838485868788[FINAL SCORE],"&gt;"&amp;Twirling_Solo_Program28910111213141516171852535455565758606163656768697273747576777879808182838485868788[[#This Row],[FINAL SCORE]])+1</calculatedColumnFormula>
    </tableColumn>
    <tableColumn id="39" xr3:uid="{00000000-0010-0000-2600-000027000000}" name="Category Type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4000000}" name="Twirling_Solo_Program289101112131415161718525354" displayName="Twirling_Solo_Program289101112131415161718525354" ref="A1:AF7" totalsRowShown="0" headerRowDxfId="1223" dataDxfId="1222">
  <autoFilter ref="A1:AF7" xr:uid="{00000000-0009-0000-0100-000035000000}"/>
  <sortState xmlns:xlrd2="http://schemas.microsoft.com/office/spreadsheetml/2017/richdata2" ref="A2:AF7">
    <sortCondition ref="AE2:AE7"/>
  </sortState>
  <tableColumns count="32">
    <tableColumn id="1" xr3:uid="{00000000-0010-0000-0400-000001000000}" name="Start No." dataDxfId="1221"/>
    <tableColumn id="8" xr3:uid="{00000000-0010-0000-0400-000008000000}" name="Lane" dataDxfId="1220"/>
    <tableColumn id="9" xr3:uid="{00000000-0010-0000-0400-000009000000}" name="Category" dataDxfId="1219"/>
    <tableColumn id="32" xr3:uid="{00000000-0010-0000-0400-000020000000}" name="Age_x000a_Division" dataDxfId="1218"/>
    <tableColumn id="40" xr3:uid="{00000000-0010-0000-0400-000028000000}" name="Level" dataDxfId="1217"/>
    <tableColumn id="4" xr3:uid="{00000000-0010-0000-0400-000004000000}" name="Athlete" dataDxfId="1216"/>
    <tableColumn id="38" xr3:uid="{00000000-0010-0000-0400-000026000000}" name="Club" dataDxfId="1215"/>
    <tableColumn id="37" xr3:uid="{00000000-0010-0000-0400-000025000000}" name="Country" dataDxfId="1214"/>
    <tableColumn id="15" xr3:uid="{00000000-0010-0000-0400-00000F000000}" name="Judge 1_x000a_Tamara Beljak" dataDxfId="1213"/>
    <tableColumn id="33" xr3:uid="{00000000-0010-0000-0400-000021000000}" name="J1 (-)" dataDxfId="1212"/>
    <tableColumn id="26" xr3:uid="{00000000-0010-0000-0400-00001A000000}" name="J1 TOTAL" dataDxfId="1211">
      <calculatedColumnFormula>Twirling_Solo_Program289101112131415161718525354[[#This Row],[Judge 1
Tamara Beljak]]-J2</calculatedColumnFormula>
    </tableColumn>
    <tableColumn id="3" xr3:uid="{00000000-0010-0000-0400-000003000000}" name="J1 (Rank)" dataDxfId="1210">
      <calculatedColumnFormula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Row],[Category]],Twirling_Solo_Program289101112131415161718525354[J1 TOTAL],"&gt;"&amp;Twirling_Solo_Program289101112131415161718525354[[#This Row],[J1 TOTAL]])+1</calculatedColumnFormula>
    </tableColumn>
    <tableColumn id="16" xr3:uid="{00000000-0010-0000-0400-000010000000}" name="Judge 2_x000a_Tihomir Bendelja" dataDxfId="1209"/>
    <tableColumn id="34" xr3:uid="{00000000-0010-0000-0400-000022000000}" name="J2 (-)" dataDxfId="1208"/>
    <tableColumn id="28" xr3:uid="{00000000-0010-0000-0400-00001C000000}" name="J2 TOTAL" dataDxfId="1207">
      <calculatedColumnFormula>Twirling_Solo_Program289101112131415161718525354[[#This Row],[Judge 2
Tihomir Bendelja]]-Twirling_Solo_Program289101112131415161718525354[[#This Row],[J2 (-)]]</calculatedColumnFormula>
    </tableColumn>
    <tableColumn id="5" xr3:uid="{00000000-0010-0000-0400-000005000000}" name="J2 (Rank)" dataDxfId="1206">
      <calculatedColumnFormula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Row],[Category]],Twirling_Solo_Program289101112131415161718525354[J2 TOTAL],"&gt;"&amp;Twirling_Solo_Program289101112131415161718525354[[#This Row],[J2 TOTAL]])+1</calculatedColumnFormula>
    </tableColumn>
    <tableColumn id="17" xr3:uid="{00000000-0010-0000-0400-000011000000}" name="Judge 3_x000a_Barbara Novina" dataDxfId="1205"/>
    <tableColumn id="35" xr3:uid="{00000000-0010-0000-0400-000023000000}" name="J3 (-)" dataDxfId="1204"/>
    <tableColumn id="30" xr3:uid="{00000000-0010-0000-0400-00001E000000}" name="J3 TOTAL" dataDxfId="1203">
      <calculatedColumnFormula>Twirling_Solo_Program289101112131415161718525354[[#This Row],[Judge 3
Barbara Novina]]-R2</calculatedColumnFormula>
    </tableColumn>
    <tableColumn id="6" xr3:uid="{00000000-0010-0000-0400-000006000000}" name="J3 (Rank)" dataDxfId="1202">
      <calculatedColumnFormula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Row],[Category]],Twirling_Solo_Program289101112131415161718525354[J3 TOTAL],"&gt;"&amp;Twirling_Solo_Program289101112131415161718525354[[#This Row],[J3 TOTAL]])+1</calculatedColumnFormula>
    </tableColumn>
    <tableColumn id="18" xr3:uid="{00000000-0010-0000-0400-000012000000}" name="Judge 4_x000a_Bernard Barač" dataDxfId="1201"/>
    <tableColumn id="36" xr3:uid="{00000000-0010-0000-0400-000024000000}" name="J4 (-)" dataDxfId="1200"/>
    <tableColumn id="31" xr3:uid="{00000000-0010-0000-0400-00001F000000}" name="J4 TOTAL" dataDxfId="1199">
      <calculatedColumnFormula>Twirling_Solo_Program289101112131415161718525354[[#This Row],[Judge 4
Bernard Barač]]-V2</calculatedColumnFormula>
    </tableColumn>
    <tableColumn id="7" xr3:uid="{00000000-0010-0000-0400-000007000000}" name="J4 (Rank)" dataDxfId="1198">
      <calculatedColumnFormula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Row],[Category]],Twirling_Solo_Program289101112131415161718525354[J4 TOTAL],"&gt;"&amp;Twirling_Solo_Program289101112131415161718525354[[#This Row],[J4 TOTAL]])+1</calculatedColumnFormula>
    </tableColumn>
    <tableColumn id="20" xr3:uid="{00000000-0010-0000-0400-000014000000}" name="Total" dataDxfId="1197">
      <calculatedColumnFormula>SUM(Twirling_Solo_Program289101112131415161718525354[[#This Row],[J1 TOTAL]]+Twirling_Solo_Program289101112131415161718525354[[#This Row],[J2 TOTAL]]+Twirling_Solo_Program289101112131415161718525354[[#This Row],[J3 TOTAL]]+Twirling_Solo_Program289101112131415161718525354[[#This Row],[J4 TOTAL]])</calculatedColumnFormula>
    </tableColumn>
    <tableColumn id="23" xr3:uid="{00000000-0010-0000-0400-000017000000}" name="Low" dataDxfId="1196"/>
    <tableColumn id="19" xr3:uid="{00000000-0010-0000-0400-000013000000}" name="High" dataDxfId="1195"/>
    <tableColumn id="25" xr3:uid="{00000000-0010-0000-0400-000019000000}" name="Final Total" dataDxfId="1194">
      <calculatedColumnFormula>SUM(Twirling_Solo_Program289101112131415161718525354[[#This Row],[Total]]-Twirling_Solo_Program289101112131415161718525354[[#This Row],[Low]]-Twirling_Solo_Program289101112131415161718525354[[#This Row],[High]])</calculatedColumnFormula>
    </tableColumn>
    <tableColumn id="24" xr3:uid="{00000000-0010-0000-0400-000018000000}" name="Avg" dataDxfId="1193">
      <calculatedColumnFormula>AVERAGE(I2,M2,Q2,U2)</calculatedColumnFormula>
    </tableColumn>
    <tableColumn id="22" xr3:uid="{00000000-0010-0000-0400-000016000000}" name="FINAL SCORE" dataDxfId="1192">
      <calculatedColumnFormula>Twirling_Solo_Program289101112131415161718525354[[#This Row],[Final Total]]</calculatedColumnFormula>
    </tableColumn>
    <tableColumn id="27" xr3:uid="{00000000-0010-0000-0400-00001B000000}" name="Rank" dataDxfId="1191">
      <calculatedColumnFormula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Row],[Category]],Twirling_Solo_Program289101112131415161718525354[FINAL SCORE],"&gt;"&amp;Twirling_Solo_Program289101112131415161718525354[[#This Row],[FINAL SCORE]])+1</calculatedColumnFormula>
    </tableColumn>
    <tableColumn id="39" xr3:uid="{00000000-0010-0000-0400-000027000000}" name="Category Type" dataDxfId="119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2000000}" name="Twirling_Solo_Program28910111213141516171852" displayName="Twirling_Solo_Program28910111213141516171852" ref="A1:AF4" totalsRowShown="0" headerRowDxfId="1189" dataDxfId="1188">
  <autoFilter ref="A1:AF4" xr:uid="{00000000-0009-0000-0100-000033000000}"/>
  <sortState xmlns:xlrd2="http://schemas.microsoft.com/office/spreadsheetml/2017/richdata2" ref="A2:AF4">
    <sortCondition ref="AE2:AE4"/>
  </sortState>
  <tableColumns count="32">
    <tableColumn id="1" xr3:uid="{00000000-0010-0000-0200-000001000000}" name="Start No." dataDxfId="1187"/>
    <tableColumn id="8" xr3:uid="{00000000-0010-0000-0200-000008000000}" name="Lane" dataDxfId="1186"/>
    <tableColumn id="9" xr3:uid="{00000000-0010-0000-0200-000009000000}" name="Category" dataDxfId="1185"/>
    <tableColumn id="32" xr3:uid="{00000000-0010-0000-0200-000020000000}" name="Age_x000a_Division" dataDxfId="1184"/>
    <tableColumn id="40" xr3:uid="{00000000-0010-0000-0200-000028000000}" name="Level" dataDxfId="1183"/>
    <tableColumn id="4" xr3:uid="{00000000-0010-0000-0200-000004000000}" name="Athlete" dataDxfId="1182"/>
    <tableColumn id="38" xr3:uid="{00000000-0010-0000-0200-000026000000}" name="Club" dataDxfId="1181"/>
    <tableColumn id="37" xr3:uid="{00000000-0010-0000-0200-000025000000}" name="Country" dataDxfId="1180"/>
    <tableColumn id="15" xr3:uid="{00000000-0010-0000-0200-00000F000000}" name="Judge 1_x000a_Tamara Beljak" dataDxfId="1179"/>
    <tableColumn id="33" xr3:uid="{00000000-0010-0000-0200-000021000000}" name="J1 (-)" dataDxfId="1178"/>
    <tableColumn id="26" xr3:uid="{00000000-0010-0000-0200-00001A000000}" name="J1 TOTAL" dataDxfId="1177">
      <calculatedColumnFormula>Twirling_Solo_Program28910111213141516171852[[#This Row],[Judge 1
Tamara Beljak]]-J2</calculatedColumnFormula>
    </tableColumn>
    <tableColumn id="3" xr3:uid="{00000000-0010-0000-0200-000003000000}" name="J1 (Rank)" dataDxfId="1176">
      <calculatedColumnFormula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Row],[Category]],Twirling_Solo_Program28910111213141516171852[J1 TOTAL],"&gt;"&amp;Twirling_Solo_Program28910111213141516171852[[#This Row],[J1 TOTAL]])+1</calculatedColumnFormula>
    </tableColumn>
    <tableColumn id="16" xr3:uid="{00000000-0010-0000-0200-000010000000}" name="Judge 2_x000a_Tihomir Bendelja" dataDxfId="1175"/>
    <tableColumn id="34" xr3:uid="{00000000-0010-0000-0200-000022000000}" name="J2 (-)" dataDxfId="1174"/>
    <tableColumn id="28" xr3:uid="{00000000-0010-0000-0200-00001C000000}" name="J2 TOTAL" dataDxfId="1173">
      <calculatedColumnFormula>Twirling_Solo_Program28910111213141516171852[[#This Row],[Judge 2
Tihomir Bendelja]]-Twirling_Solo_Program28910111213141516171852[[#This Row],[J2 (-)]]</calculatedColumnFormula>
    </tableColumn>
    <tableColumn id="5" xr3:uid="{00000000-0010-0000-0200-000005000000}" name="J2 (Rank)" dataDxfId="1172">
      <calculatedColumnFormula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Row],[Category]],Twirling_Solo_Program28910111213141516171852[J2 TOTAL],"&gt;"&amp;Twirling_Solo_Program28910111213141516171852[[#This Row],[J2 TOTAL]])+1</calculatedColumnFormula>
    </tableColumn>
    <tableColumn id="17" xr3:uid="{00000000-0010-0000-0200-000011000000}" name="Judge 3_x000a_Barbara Novina" dataDxfId="1171"/>
    <tableColumn id="35" xr3:uid="{00000000-0010-0000-0200-000023000000}" name="J3 (-)" dataDxfId="1170"/>
    <tableColumn id="30" xr3:uid="{00000000-0010-0000-0200-00001E000000}" name="J3 TOTAL" dataDxfId="1169">
      <calculatedColumnFormula>Twirling_Solo_Program28910111213141516171852[[#This Row],[Judge 3
Barbara Novina]]-R2</calculatedColumnFormula>
    </tableColumn>
    <tableColumn id="6" xr3:uid="{00000000-0010-0000-0200-000006000000}" name="J3 (Rank)" dataDxfId="1168">
      <calculatedColumnFormula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Row],[Category]],Twirling_Solo_Program28910111213141516171852[J3 TOTAL],"&gt;"&amp;Twirling_Solo_Program28910111213141516171852[[#This Row],[J3 TOTAL]])+1</calculatedColumnFormula>
    </tableColumn>
    <tableColumn id="18" xr3:uid="{00000000-0010-0000-0200-000012000000}" name="Judge 4_x000a_Bernard Barač" dataDxfId="1167"/>
    <tableColumn id="36" xr3:uid="{00000000-0010-0000-0200-000024000000}" name="J4 (-)" dataDxfId="1166"/>
    <tableColumn id="31" xr3:uid="{00000000-0010-0000-0200-00001F000000}" name="J4 TOTAL" dataDxfId="1165">
      <calculatedColumnFormula>Twirling_Solo_Program28910111213141516171852[[#This Row],[Judge 4
Bernard Barač]]-V2</calculatedColumnFormula>
    </tableColumn>
    <tableColumn id="7" xr3:uid="{00000000-0010-0000-0200-000007000000}" name="J4 (Rank)" dataDxfId="1164">
      <calculatedColumnFormula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Row],[Category]],Twirling_Solo_Program28910111213141516171852[J4 TOTAL],"&gt;"&amp;Twirling_Solo_Program28910111213141516171852[[#This Row],[J4 TOTAL]])+1</calculatedColumnFormula>
    </tableColumn>
    <tableColumn id="20" xr3:uid="{00000000-0010-0000-0200-000014000000}" name="Total" dataDxfId="1163">
      <calculatedColumnFormula>SUM(Twirling_Solo_Program28910111213141516171852[[#This Row],[J1 TOTAL]]+Twirling_Solo_Program28910111213141516171852[[#This Row],[J2 TOTAL]]+Twirling_Solo_Program28910111213141516171852[[#This Row],[J3 TOTAL]]+Twirling_Solo_Program28910111213141516171852[[#This Row],[J4 TOTAL]])</calculatedColumnFormula>
    </tableColumn>
    <tableColumn id="23" xr3:uid="{00000000-0010-0000-0200-000017000000}" name="Low" dataDxfId="1162"/>
    <tableColumn id="19" xr3:uid="{00000000-0010-0000-0200-000013000000}" name="High" dataDxfId="1161"/>
    <tableColumn id="25" xr3:uid="{00000000-0010-0000-0200-000019000000}" name="Final Total" dataDxfId="1160">
      <calculatedColumnFormula>SUM(Twirling_Solo_Program28910111213141516171852[[#This Row],[Total]]-Twirling_Solo_Program28910111213141516171852[[#This Row],[Low]]-Twirling_Solo_Program28910111213141516171852[[#This Row],[High]])</calculatedColumnFormula>
    </tableColumn>
    <tableColumn id="24" xr3:uid="{00000000-0010-0000-0200-000018000000}" name="Avg" dataDxfId="1159">
      <calculatedColumnFormula>AVERAGE(I2,M2,Q2,U2)</calculatedColumnFormula>
    </tableColumn>
    <tableColumn id="22" xr3:uid="{00000000-0010-0000-0200-000016000000}" name="FINAL SCORE" dataDxfId="1158">
      <calculatedColumnFormula>Twirling_Solo_Program28910111213141516171852[[#This Row],[Final Total]]</calculatedColumnFormula>
    </tableColumn>
    <tableColumn id="27" xr3:uid="{00000000-0010-0000-0200-00001B000000}" name="Rank" dataDxfId="1157">
      <calculatedColumnFormula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Row],[Category]],Twirling_Solo_Program28910111213141516171852[FINAL SCORE],"&gt;"&amp;Twirling_Solo_Program28910111213141516171852[[#This Row],[FINAL SCORE]])+1</calculatedColumnFormula>
    </tableColumn>
    <tableColumn id="39" xr3:uid="{00000000-0010-0000-0200-000027000000}" name="Category Type" dataDxfId="115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6000000}" name="Twirling_Solo_Program2891011121314151617185253545556" displayName="Twirling_Solo_Program2891011121314151617185253545556" ref="A1:AF4" totalsRowShown="0" headerRowDxfId="1155" dataDxfId="1154">
  <autoFilter ref="A1:AF4" xr:uid="{00000000-0009-0000-0100-000037000000}"/>
  <sortState xmlns:xlrd2="http://schemas.microsoft.com/office/spreadsheetml/2017/richdata2" ref="A2:AF4">
    <sortCondition ref="AE2:AE4"/>
  </sortState>
  <tableColumns count="32">
    <tableColumn id="1" xr3:uid="{00000000-0010-0000-0600-000001000000}" name="Start No." dataDxfId="1153"/>
    <tableColumn id="8" xr3:uid="{00000000-0010-0000-0600-000008000000}" name="Lane" dataDxfId="1152"/>
    <tableColumn id="9" xr3:uid="{00000000-0010-0000-0600-000009000000}" name="Category" dataDxfId="1151"/>
    <tableColumn id="32" xr3:uid="{00000000-0010-0000-0600-000020000000}" name="Age_x000a_Division" dataDxfId="1150"/>
    <tableColumn id="40" xr3:uid="{00000000-0010-0000-0600-000028000000}" name="Level" dataDxfId="1149"/>
    <tableColumn id="4" xr3:uid="{00000000-0010-0000-0600-000004000000}" name="Athlete" dataDxfId="1148"/>
    <tableColumn id="38" xr3:uid="{00000000-0010-0000-0600-000026000000}" name="Club" dataDxfId="1147"/>
    <tableColumn id="37" xr3:uid="{00000000-0010-0000-0600-000025000000}" name="Country" dataDxfId="1146"/>
    <tableColumn id="15" xr3:uid="{00000000-0010-0000-0600-00000F000000}" name="Judge 1_x000a_Tamara Beljak" dataDxfId="1145"/>
    <tableColumn id="33" xr3:uid="{00000000-0010-0000-0600-000021000000}" name="J1 (-)" dataDxfId="1144"/>
    <tableColumn id="26" xr3:uid="{00000000-0010-0000-0600-00001A000000}" name="J1 TOTAL" dataDxfId="1143">
      <calculatedColumnFormula>Twirling_Solo_Program2891011121314151617185253545556[[#This Row],[Judge 1
Tamara Beljak]]-J2</calculatedColumnFormula>
    </tableColumn>
    <tableColumn id="3" xr3:uid="{00000000-0010-0000-0600-000003000000}" name="J1 (Rank)" dataDxfId="1142">
      <calculatedColumnFormula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Row],[Category]],Twirling_Solo_Program2891011121314151617185253545556[J1 TOTAL],"&gt;"&amp;Twirling_Solo_Program2891011121314151617185253545556[[#This Row],[J1 TOTAL]])+1</calculatedColumnFormula>
    </tableColumn>
    <tableColumn id="16" xr3:uid="{00000000-0010-0000-0600-000010000000}" name="Judge 2_x000a_Tihomir Bendelja" dataDxfId="1141"/>
    <tableColumn id="34" xr3:uid="{00000000-0010-0000-0600-000022000000}" name="J2 (-)" dataDxfId="1140"/>
    <tableColumn id="28" xr3:uid="{00000000-0010-0000-0600-00001C000000}" name="J2 TOTAL" dataDxfId="1139">
      <calculatedColumnFormula>Twirling_Solo_Program2891011121314151617185253545556[[#This Row],[Judge 2
Tihomir Bendelja]]-Twirling_Solo_Program2891011121314151617185253545556[[#This Row],[J2 (-)]]</calculatedColumnFormula>
    </tableColumn>
    <tableColumn id="5" xr3:uid="{00000000-0010-0000-0600-000005000000}" name="J2 (Rank)" dataDxfId="1138">
      <calculatedColumnFormula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Row],[Category]],Twirling_Solo_Program2891011121314151617185253545556[J2 TOTAL],"&gt;"&amp;Twirling_Solo_Program2891011121314151617185253545556[[#This Row],[J2 TOTAL]])+1</calculatedColumnFormula>
    </tableColumn>
    <tableColumn id="17" xr3:uid="{00000000-0010-0000-0600-000011000000}" name="Judge 3_x000a_Barbara Novina" dataDxfId="1137"/>
    <tableColumn id="35" xr3:uid="{00000000-0010-0000-0600-000023000000}" name="J3 (-)" dataDxfId="1136"/>
    <tableColumn id="30" xr3:uid="{00000000-0010-0000-0600-00001E000000}" name="J3 TOTAL" dataDxfId="1135">
      <calculatedColumnFormula>Twirling_Solo_Program2891011121314151617185253545556[[#This Row],[Judge 3
Barbara Novina]]-R2</calculatedColumnFormula>
    </tableColumn>
    <tableColumn id="6" xr3:uid="{00000000-0010-0000-0600-000006000000}" name="J3 (Rank)" dataDxfId="1134">
      <calculatedColumnFormula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Row],[Category]],Twirling_Solo_Program2891011121314151617185253545556[J3 TOTAL],"&gt;"&amp;Twirling_Solo_Program2891011121314151617185253545556[[#This Row],[J3 TOTAL]])+1</calculatedColumnFormula>
    </tableColumn>
    <tableColumn id="18" xr3:uid="{00000000-0010-0000-0600-000012000000}" name="Judge 4_x000a_Bernard Barač" dataDxfId="1133"/>
    <tableColumn id="36" xr3:uid="{00000000-0010-0000-0600-000024000000}" name="J4 (-)" dataDxfId="1132"/>
    <tableColumn id="31" xr3:uid="{00000000-0010-0000-0600-00001F000000}" name="J4 TOTAL" dataDxfId="1131">
      <calculatedColumnFormula>Twirling_Solo_Program2891011121314151617185253545556[[#This Row],[Judge 4
Bernard Barač]]-V2</calculatedColumnFormula>
    </tableColumn>
    <tableColumn id="7" xr3:uid="{00000000-0010-0000-0600-000007000000}" name="J4 (Rank)" dataDxfId="1130">
      <calculatedColumnFormula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Row],[Category]],Twirling_Solo_Program2891011121314151617185253545556[J4 TOTAL],"&gt;"&amp;Twirling_Solo_Program2891011121314151617185253545556[[#This Row],[J4 TOTAL]])+1</calculatedColumnFormula>
    </tableColumn>
    <tableColumn id="20" xr3:uid="{00000000-0010-0000-0600-000014000000}" name="Total" dataDxfId="1129">
      <calculatedColumnFormula>SUM(Twirling_Solo_Program2891011121314151617185253545556[[#This Row],[J1 TOTAL]]+Twirling_Solo_Program2891011121314151617185253545556[[#This Row],[J2 TOTAL]]+Twirling_Solo_Program2891011121314151617185253545556[[#This Row],[J3 TOTAL]]+Twirling_Solo_Program2891011121314151617185253545556[[#This Row],[J4 TOTAL]])</calculatedColumnFormula>
    </tableColumn>
    <tableColumn id="23" xr3:uid="{00000000-0010-0000-0600-000017000000}" name="Low" dataDxfId="1128"/>
    <tableColumn id="19" xr3:uid="{00000000-0010-0000-0600-000013000000}" name="High" dataDxfId="1127"/>
    <tableColumn id="25" xr3:uid="{00000000-0010-0000-0600-000019000000}" name="Final Total" dataDxfId="1126">
      <calculatedColumnFormula>SUM(Twirling_Solo_Program2891011121314151617185253545556[[#This Row],[Total]]-Twirling_Solo_Program2891011121314151617185253545556[[#This Row],[Low]]-Twirling_Solo_Program2891011121314151617185253545556[[#This Row],[High]])</calculatedColumnFormula>
    </tableColumn>
    <tableColumn id="24" xr3:uid="{00000000-0010-0000-0600-000018000000}" name="Avg" dataDxfId="1125">
      <calculatedColumnFormula>AVERAGE(I2,M2,Q2,U2)</calculatedColumnFormula>
    </tableColumn>
    <tableColumn id="22" xr3:uid="{00000000-0010-0000-0600-000016000000}" name="FINAL SCORE" dataDxfId="1124">
      <calculatedColumnFormula>Twirling_Solo_Program2891011121314151617185253545556[[#This Row],[Final Total]]</calculatedColumnFormula>
    </tableColumn>
    <tableColumn id="27" xr3:uid="{00000000-0010-0000-0600-00001B000000}" name="Rank" dataDxfId="1123">
      <calculatedColumnFormula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Row],[Category]],Twirling_Solo_Program2891011121314151617185253545556[FINAL SCORE],"&gt;"&amp;Twirling_Solo_Program2891011121314151617185253545556[[#This Row],[FINAL SCORE]])+1</calculatedColumnFormula>
    </tableColumn>
    <tableColumn id="39" xr3:uid="{00000000-0010-0000-0600-000027000000}" name="Category Type" dataDxfId="112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5000000}" name="Twirling_Solo_Program28910111213141516171852535455" displayName="Twirling_Solo_Program28910111213141516171852535455" ref="A1:AF3" totalsRowShown="0" headerRowDxfId="1121" dataDxfId="1120">
  <autoFilter ref="A1:AF3" xr:uid="{00000000-0009-0000-0100-000036000000}"/>
  <sortState xmlns:xlrd2="http://schemas.microsoft.com/office/spreadsheetml/2017/richdata2" ref="A2:AF3">
    <sortCondition ref="AE2:AE3"/>
  </sortState>
  <tableColumns count="32">
    <tableColumn id="1" xr3:uid="{00000000-0010-0000-0500-000001000000}" name="Start No." dataDxfId="1119"/>
    <tableColumn id="8" xr3:uid="{00000000-0010-0000-0500-000008000000}" name="Lane" dataDxfId="1118"/>
    <tableColumn id="9" xr3:uid="{00000000-0010-0000-0500-000009000000}" name="Category" dataDxfId="1117"/>
    <tableColumn id="32" xr3:uid="{00000000-0010-0000-0500-000020000000}" name="Age_x000a_Division" dataDxfId="1116"/>
    <tableColumn id="40" xr3:uid="{00000000-0010-0000-0500-000028000000}" name="Level" dataDxfId="1115"/>
    <tableColumn id="4" xr3:uid="{00000000-0010-0000-0500-000004000000}" name="Athlete" dataDxfId="1114"/>
    <tableColumn id="38" xr3:uid="{00000000-0010-0000-0500-000026000000}" name="Club" dataDxfId="1113"/>
    <tableColumn id="37" xr3:uid="{00000000-0010-0000-0500-000025000000}" name="Country" dataDxfId="1112"/>
    <tableColumn id="15" xr3:uid="{00000000-0010-0000-0500-00000F000000}" name="Judge 1_x000a_Tamara Beljak" dataDxfId="1111"/>
    <tableColumn id="33" xr3:uid="{00000000-0010-0000-0500-000021000000}" name="J1 (-)" dataDxfId="1110"/>
    <tableColumn id="26" xr3:uid="{00000000-0010-0000-0500-00001A000000}" name="J1 TOTAL" dataDxfId="1109">
      <calculatedColumnFormula>Twirling_Solo_Program28910111213141516171852535455[[#This Row],[Judge 1
Tamara Beljak]]-J2</calculatedColumnFormula>
    </tableColumn>
    <tableColumn id="3" xr3:uid="{00000000-0010-0000-0500-000003000000}" name="J1 (Rank)" dataDxfId="1108">
      <calculatedColumnFormula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Row],[Category]],Twirling_Solo_Program28910111213141516171852535455[J1 TOTAL],"&gt;"&amp;Twirling_Solo_Program28910111213141516171852535455[[#This Row],[J1 TOTAL]])+1</calculatedColumnFormula>
    </tableColumn>
    <tableColumn id="16" xr3:uid="{00000000-0010-0000-0500-000010000000}" name="Judge 2_x000a_Tihomir Bendelja" dataDxfId="1107"/>
    <tableColumn id="34" xr3:uid="{00000000-0010-0000-0500-000022000000}" name="J2 (-)" dataDxfId="1106"/>
    <tableColumn id="28" xr3:uid="{00000000-0010-0000-0500-00001C000000}" name="J2 TOTAL" dataDxfId="1105">
      <calculatedColumnFormula>Twirling_Solo_Program28910111213141516171852535455[[#This Row],[Judge 2
Tihomir Bendelja]]-Twirling_Solo_Program28910111213141516171852535455[[#This Row],[J2 (-)]]</calculatedColumnFormula>
    </tableColumn>
    <tableColumn id="5" xr3:uid="{00000000-0010-0000-0500-000005000000}" name="J2 (Rank)" dataDxfId="1104">
      <calculatedColumnFormula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Row],[Category]],Twirling_Solo_Program28910111213141516171852535455[J2 TOTAL],"&gt;"&amp;Twirling_Solo_Program28910111213141516171852535455[[#This Row],[J2 TOTAL]])+1</calculatedColumnFormula>
    </tableColumn>
    <tableColumn id="17" xr3:uid="{00000000-0010-0000-0500-000011000000}" name="Judge 3_x000a_Barbara Novina" dataDxfId="1103"/>
    <tableColumn id="35" xr3:uid="{00000000-0010-0000-0500-000023000000}" name="J3 (-)" dataDxfId="1102"/>
    <tableColumn id="30" xr3:uid="{00000000-0010-0000-0500-00001E000000}" name="J3 TOTAL" dataDxfId="1101">
      <calculatedColumnFormula>Twirling_Solo_Program28910111213141516171852535455[[#This Row],[Judge 3
Barbara Novina]]-R2</calculatedColumnFormula>
    </tableColumn>
    <tableColumn id="6" xr3:uid="{00000000-0010-0000-0500-000006000000}" name="J3 (Rank)" dataDxfId="1100">
      <calculatedColumnFormula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Row],[Category]],Twirling_Solo_Program28910111213141516171852535455[J3 TOTAL],"&gt;"&amp;Twirling_Solo_Program28910111213141516171852535455[[#This Row],[J3 TOTAL]])+1</calculatedColumnFormula>
    </tableColumn>
    <tableColumn id="18" xr3:uid="{00000000-0010-0000-0500-000012000000}" name="Judge 4_x000a_Bernard Barač" dataDxfId="1099"/>
    <tableColumn id="36" xr3:uid="{00000000-0010-0000-0500-000024000000}" name="J4 (-)" dataDxfId="1098"/>
    <tableColumn id="31" xr3:uid="{00000000-0010-0000-0500-00001F000000}" name="J4 TOTAL" dataDxfId="1097">
      <calculatedColumnFormula>Twirling_Solo_Program28910111213141516171852535455[[#This Row],[Judge 4
Bernard Barač]]-V2</calculatedColumnFormula>
    </tableColumn>
    <tableColumn id="7" xr3:uid="{00000000-0010-0000-0500-000007000000}" name="J4 (Rank)" dataDxfId="1096">
      <calculatedColumnFormula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Row],[Category]],Twirling_Solo_Program28910111213141516171852535455[J4 TOTAL],"&gt;"&amp;Twirling_Solo_Program28910111213141516171852535455[[#This Row],[J4 TOTAL]])+1</calculatedColumnFormula>
    </tableColumn>
    <tableColumn id="20" xr3:uid="{00000000-0010-0000-0500-000014000000}" name="Total" dataDxfId="1095">
      <calculatedColumnFormula>SUM(Twirling_Solo_Program28910111213141516171852535455[[#This Row],[J1 TOTAL]]+Twirling_Solo_Program28910111213141516171852535455[[#This Row],[J2 TOTAL]]+Twirling_Solo_Program28910111213141516171852535455[[#This Row],[J3 TOTAL]]+Twirling_Solo_Program28910111213141516171852535455[[#This Row],[J4 TOTAL]])</calculatedColumnFormula>
    </tableColumn>
    <tableColumn id="23" xr3:uid="{00000000-0010-0000-0500-000017000000}" name="Low" dataDxfId="1094"/>
    <tableColumn id="19" xr3:uid="{00000000-0010-0000-0500-000013000000}" name="High" dataDxfId="1093"/>
    <tableColumn id="25" xr3:uid="{00000000-0010-0000-0500-000019000000}" name="Final Total" dataDxfId="1092">
      <calculatedColumnFormula>SUM(Twirling_Solo_Program28910111213141516171852535455[[#This Row],[Total]]-Twirling_Solo_Program28910111213141516171852535455[[#This Row],[Low]]-Twirling_Solo_Program28910111213141516171852535455[[#This Row],[High]])</calculatedColumnFormula>
    </tableColumn>
    <tableColumn id="24" xr3:uid="{00000000-0010-0000-0500-000018000000}" name="Avg" dataDxfId="1091">
      <calculatedColumnFormula>AVERAGE(I2,M2,Q2,U2)</calculatedColumnFormula>
    </tableColumn>
    <tableColumn id="22" xr3:uid="{00000000-0010-0000-0500-000016000000}" name="FINAL SCORE" dataDxfId="1090">
      <calculatedColumnFormula>Twirling_Solo_Program28910111213141516171852535455[[#This Row],[Final Total]]</calculatedColumnFormula>
    </tableColumn>
    <tableColumn id="27" xr3:uid="{00000000-0010-0000-0500-00001B000000}" name="Rank" dataDxfId="1089">
      <calculatedColumnFormula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Row],[Category]],Twirling_Solo_Program28910111213141516171852535455[FINAL SCORE],"&gt;"&amp;Twirling_Solo_Program28910111213141516171852535455[[#This Row],[FINAL SCORE]])+1</calculatedColumnFormula>
    </tableColumn>
    <tableColumn id="39" xr3:uid="{00000000-0010-0000-0500-000027000000}" name="Category Type" dataDxfId="108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07000000}" name="Twirling_Solo_Program289101112131415161718525354555657" displayName="Twirling_Solo_Program289101112131415161718525354555657" ref="A1:AF2" totalsRowShown="0" headerRowDxfId="1087" dataDxfId="1086">
  <autoFilter ref="A1:AF2" xr:uid="{00000000-0009-0000-0100-000038000000}"/>
  <tableColumns count="32">
    <tableColumn id="1" xr3:uid="{00000000-0010-0000-0700-000001000000}" name="Start No." dataDxfId="1085"/>
    <tableColumn id="8" xr3:uid="{00000000-0010-0000-0700-000008000000}" name="Lane" dataDxfId="1084"/>
    <tableColumn id="9" xr3:uid="{00000000-0010-0000-0700-000009000000}" name="Category" dataDxfId="1083"/>
    <tableColumn id="32" xr3:uid="{00000000-0010-0000-0700-000020000000}" name="Age_x000a_Division" dataDxfId="1082"/>
    <tableColumn id="40" xr3:uid="{00000000-0010-0000-0700-000028000000}" name="Level" dataDxfId="1081"/>
    <tableColumn id="4" xr3:uid="{00000000-0010-0000-0700-000004000000}" name="Athlete" dataDxfId="1080"/>
    <tableColumn id="38" xr3:uid="{00000000-0010-0000-0700-000026000000}" name="Club" dataDxfId="1079"/>
    <tableColumn id="37" xr3:uid="{00000000-0010-0000-0700-000025000000}" name="Country" dataDxfId="1078"/>
    <tableColumn id="15" xr3:uid="{00000000-0010-0000-0700-00000F000000}" name="Judge 1_x000a_Tamara Beljak" dataDxfId="1077"/>
    <tableColumn id="33" xr3:uid="{00000000-0010-0000-0700-000021000000}" name="J1 (-)" dataDxfId="1076"/>
    <tableColumn id="26" xr3:uid="{00000000-0010-0000-0700-00001A000000}" name="J1 TOTAL" dataDxfId="1075">
      <calculatedColumnFormula>Twirling_Solo_Program289101112131415161718525354555657[[#This Row],[Judge 1
Tamara Beljak]]-J2</calculatedColumnFormula>
    </tableColumn>
    <tableColumn id="3" xr3:uid="{00000000-0010-0000-0700-000003000000}" name="J1 (Rank)" dataDxfId="1074">
      <calculatedColumnFormula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Row],[Category]],Twirling_Solo_Program289101112131415161718525354555657[J1 TOTAL],"&gt;"&amp;Twirling_Solo_Program289101112131415161718525354555657[[#This Row],[J1 TOTAL]])+1</calculatedColumnFormula>
    </tableColumn>
    <tableColumn id="16" xr3:uid="{00000000-0010-0000-0700-000010000000}" name="Judge 2_x000a_Tihomir Bendelja" dataDxfId="1073"/>
    <tableColumn id="34" xr3:uid="{00000000-0010-0000-0700-000022000000}" name="J2 (-)" dataDxfId="1072"/>
    <tableColumn id="28" xr3:uid="{00000000-0010-0000-0700-00001C000000}" name="J2 TOTAL" dataDxfId="1071">
      <calculatedColumnFormula>Twirling_Solo_Program289101112131415161718525354555657[[#This Row],[Judge 2
Tihomir Bendelja]]-Twirling_Solo_Program289101112131415161718525354555657[[#This Row],[J2 (-)]]</calculatedColumnFormula>
    </tableColumn>
    <tableColumn id="5" xr3:uid="{00000000-0010-0000-0700-000005000000}" name="J2 (Rank)" dataDxfId="1070">
      <calculatedColumnFormula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Row],[Category]],Twirling_Solo_Program289101112131415161718525354555657[J2 TOTAL],"&gt;"&amp;Twirling_Solo_Program289101112131415161718525354555657[[#This Row],[J2 TOTAL]])+1</calculatedColumnFormula>
    </tableColumn>
    <tableColumn id="17" xr3:uid="{00000000-0010-0000-0700-000011000000}" name="Judge 3_x000a_Barbara Novina" dataDxfId="1069"/>
    <tableColumn id="35" xr3:uid="{00000000-0010-0000-0700-000023000000}" name="J3 (-)" dataDxfId="1068"/>
    <tableColumn id="30" xr3:uid="{00000000-0010-0000-0700-00001E000000}" name="J3 TOTAL" dataDxfId="1067">
      <calculatedColumnFormula>Twirling_Solo_Program289101112131415161718525354555657[[#This Row],[Judge 3
Barbara Novina]]-R2</calculatedColumnFormula>
    </tableColumn>
    <tableColumn id="6" xr3:uid="{00000000-0010-0000-0700-000006000000}" name="J3 (Rank)" dataDxfId="1066">
      <calculatedColumnFormula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Row],[Category]],Twirling_Solo_Program289101112131415161718525354555657[J3 TOTAL],"&gt;"&amp;Twirling_Solo_Program289101112131415161718525354555657[[#This Row],[J3 TOTAL]])+1</calculatedColumnFormula>
    </tableColumn>
    <tableColumn id="18" xr3:uid="{00000000-0010-0000-0700-000012000000}" name="Judge 4_x000a_Bernard Barač" dataDxfId="1065"/>
    <tableColumn id="36" xr3:uid="{00000000-0010-0000-0700-000024000000}" name="J4 (-)" dataDxfId="1064"/>
    <tableColumn id="31" xr3:uid="{00000000-0010-0000-0700-00001F000000}" name="J4 TOTAL" dataDxfId="1063">
      <calculatedColumnFormula>Twirling_Solo_Program289101112131415161718525354555657[[#This Row],[Judge 4
Bernard Barač]]-V2</calculatedColumnFormula>
    </tableColumn>
    <tableColumn id="7" xr3:uid="{00000000-0010-0000-0700-000007000000}" name="J4 (Rank)" dataDxfId="1062">
      <calculatedColumnFormula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Row],[Category]],Twirling_Solo_Program289101112131415161718525354555657[J4 TOTAL],"&gt;"&amp;Twirling_Solo_Program289101112131415161718525354555657[[#This Row],[J4 TOTAL]])+1</calculatedColumnFormula>
    </tableColumn>
    <tableColumn id="20" xr3:uid="{00000000-0010-0000-0700-000014000000}" name="Total" dataDxfId="1061">
      <calculatedColumnFormula>SUM(Twirling_Solo_Program289101112131415161718525354555657[[#This Row],[J1 TOTAL]]+Twirling_Solo_Program289101112131415161718525354555657[[#This Row],[J2 TOTAL]]+Twirling_Solo_Program289101112131415161718525354555657[[#This Row],[J3 TOTAL]]+Twirling_Solo_Program289101112131415161718525354555657[[#This Row],[J4 TOTAL]])</calculatedColumnFormula>
    </tableColumn>
    <tableColumn id="23" xr3:uid="{00000000-0010-0000-0700-000017000000}" name="Low" dataDxfId="1060"/>
    <tableColumn id="19" xr3:uid="{00000000-0010-0000-0700-000013000000}" name="High" dataDxfId="1059"/>
    <tableColumn id="25" xr3:uid="{00000000-0010-0000-0700-000019000000}" name="Final Total" dataDxfId="1058">
      <calculatedColumnFormula>SUM(Twirling_Solo_Program289101112131415161718525354555657[[#This Row],[Total]]-Twirling_Solo_Program289101112131415161718525354555657[[#This Row],[Low]]-Twirling_Solo_Program289101112131415161718525354555657[[#This Row],[High]])</calculatedColumnFormula>
    </tableColumn>
    <tableColumn id="24" xr3:uid="{00000000-0010-0000-0700-000018000000}" name="Avg" dataDxfId="1057">
      <calculatedColumnFormula>AVERAGE(I2,M2,Q2,U2)</calculatedColumnFormula>
    </tableColumn>
    <tableColumn id="22" xr3:uid="{00000000-0010-0000-0700-000016000000}" name="FINAL SCORE" dataDxfId="1056">
      <calculatedColumnFormula>Twirling_Solo_Program289101112131415161718525354555657[[#This Row],[Final Total]]</calculatedColumnFormula>
    </tableColumn>
    <tableColumn id="27" xr3:uid="{00000000-0010-0000-0700-00001B000000}" name="Rank" dataDxfId="1055">
      <calculatedColumnFormula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Row],[Category]],Twirling_Solo_Program289101112131415161718525354555657[FINAL SCORE],"&gt;"&amp;Twirling_Solo_Program289101112131415161718525354555657[[#This Row],[FINAL SCORE]])+1</calculatedColumnFormula>
    </tableColumn>
    <tableColumn id="39" xr3:uid="{00000000-0010-0000-0700-000027000000}" name="Category Type" dataDxfId="105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08000000}" name="Twirling_Solo_Program2891011121314151617185253545556575859" displayName="Twirling_Solo_Program2891011121314151617185253545556575859" ref="A1:AF2" totalsRowShown="0" headerRowDxfId="1053" dataDxfId="1052">
  <autoFilter ref="A1:AF2" xr:uid="{00000000-0009-0000-0100-00003A000000}"/>
  <tableColumns count="32">
    <tableColumn id="1" xr3:uid="{00000000-0010-0000-0800-000001000000}" name="Start No." dataDxfId="1051"/>
    <tableColumn id="8" xr3:uid="{00000000-0010-0000-0800-000008000000}" name="Lane" dataDxfId="1050"/>
    <tableColumn id="9" xr3:uid="{00000000-0010-0000-0800-000009000000}" name="Category" dataDxfId="1049"/>
    <tableColumn id="32" xr3:uid="{00000000-0010-0000-0800-000020000000}" name="Age_x000a_Division" dataDxfId="1048"/>
    <tableColumn id="40" xr3:uid="{00000000-0010-0000-0800-000028000000}" name="Level" dataDxfId="1047"/>
    <tableColumn id="4" xr3:uid="{00000000-0010-0000-0800-000004000000}" name="Athlete" dataDxfId="1046"/>
    <tableColumn id="38" xr3:uid="{00000000-0010-0000-0800-000026000000}" name="Club" dataDxfId="1045"/>
    <tableColumn id="37" xr3:uid="{00000000-0010-0000-0800-000025000000}" name="Country" dataDxfId="1044"/>
    <tableColumn id="15" xr3:uid="{00000000-0010-0000-0800-00000F000000}" name="Judge 1_x000a_Tamara Beljak" dataDxfId="1043"/>
    <tableColumn id="33" xr3:uid="{00000000-0010-0000-0800-000021000000}" name="J1 (-)" dataDxfId="1042"/>
    <tableColumn id="26" xr3:uid="{00000000-0010-0000-0800-00001A000000}" name="J1 TOTAL" dataDxfId="1041">
      <calculatedColumnFormula>Twirling_Solo_Program2891011121314151617185253545556575859[[#This Row],[Judge 1
Tamara Beljak]]-J2</calculatedColumnFormula>
    </tableColumn>
    <tableColumn id="3" xr3:uid="{00000000-0010-0000-0800-000003000000}" name="J1 (Rank)" dataDxfId="1040">
      <calculatedColumnFormula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Row],[Category]],Twirling_Solo_Program2891011121314151617185253545556575859[J1 TOTAL],"&gt;"&amp;Twirling_Solo_Program2891011121314151617185253545556575859[[#This Row],[J1 TOTAL]])+1</calculatedColumnFormula>
    </tableColumn>
    <tableColumn id="16" xr3:uid="{00000000-0010-0000-0800-000010000000}" name="Judge 2_x000a_Tihomir Bendelja" dataDxfId="1039"/>
    <tableColumn id="34" xr3:uid="{00000000-0010-0000-0800-000022000000}" name="J2 (-)" dataDxfId="1038"/>
    <tableColumn id="28" xr3:uid="{00000000-0010-0000-0800-00001C000000}" name="J2 TOTAL" dataDxfId="1037">
      <calculatedColumnFormula>Twirling_Solo_Program2891011121314151617185253545556575859[[#This Row],[Judge 2
Tihomir Bendelja]]-Twirling_Solo_Program2891011121314151617185253545556575859[[#This Row],[J2 (-)]]</calculatedColumnFormula>
    </tableColumn>
    <tableColumn id="5" xr3:uid="{00000000-0010-0000-0800-000005000000}" name="J2 (Rank)" dataDxfId="1036">
      <calculatedColumnFormula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Row],[Category]],Twirling_Solo_Program2891011121314151617185253545556575859[J2 TOTAL],"&gt;"&amp;Twirling_Solo_Program2891011121314151617185253545556575859[[#This Row],[J2 TOTAL]])+1</calculatedColumnFormula>
    </tableColumn>
    <tableColumn id="17" xr3:uid="{00000000-0010-0000-0800-000011000000}" name="Judge 3_x000a_Barbara Novina" dataDxfId="1035"/>
    <tableColumn id="35" xr3:uid="{00000000-0010-0000-0800-000023000000}" name="J3 (-)" dataDxfId="1034"/>
    <tableColumn id="30" xr3:uid="{00000000-0010-0000-0800-00001E000000}" name="J3 TOTAL" dataDxfId="1033">
      <calculatedColumnFormula>Twirling_Solo_Program2891011121314151617185253545556575859[[#This Row],[Judge 3
Barbara Novina]]-R2</calculatedColumnFormula>
    </tableColumn>
    <tableColumn id="6" xr3:uid="{00000000-0010-0000-0800-000006000000}" name="J3 (Rank)" dataDxfId="1032">
      <calculatedColumnFormula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Row],[Category]],Twirling_Solo_Program2891011121314151617185253545556575859[J3 TOTAL],"&gt;"&amp;Twirling_Solo_Program2891011121314151617185253545556575859[[#This Row],[J3 TOTAL]])+1</calculatedColumnFormula>
    </tableColumn>
    <tableColumn id="18" xr3:uid="{00000000-0010-0000-0800-000012000000}" name="Judge 4_x000a_Bernard Barač" dataDxfId="1031"/>
    <tableColumn id="36" xr3:uid="{00000000-0010-0000-0800-000024000000}" name="J4 (-)" dataDxfId="1030"/>
    <tableColumn id="31" xr3:uid="{00000000-0010-0000-0800-00001F000000}" name="J4 TOTAL" dataDxfId="1029">
      <calculatedColumnFormula>Twirling_Solo_Program2891011121314151617185253545556575859[[#This Row],[Judge 4
Bernard Barač]]-V2</calculatedColumnFormula>
    </tableColumn>
    <tableColumn id="7" xr3:uid="{00000000-0010-0000-0800-000007000000}" name="J4 (Rank)" dataDxfId="1028">
      <calculatedColumnFormula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Row],[Category]],Twirling_Solo_Program2891011121314151617185253545556575859[J4 TOTAL],"&gt;"&amp;Twirling_Solo_Program2891011121314151617185253545556575859[[#This Row],[J4 TOTAL]])+1</calculatedColumnFormula>
    </tableColumn>
    <tableColumn id="20" xr3:uid="{00000000-0010-0000-0800-000014000000}" name="Total" dataDxfId="1027">
      <calculatedColumnFormula>SUM(Twirling_Solo_Program2891011121314151617185253545556575859[[#This Row],[J1 TOTAL]]+Twirling_Solo_Program2891011121314151617185253545556575859[[#This Row],[J2 TOTAL]]+Twirling_Solo_Program2891011121314151617185253545556575859[[#This Row],[J3 TOTAL]]+Twirling_Solo_Program2891011121314151617185253545556575859[[#This Row],[J4 TOTAL]])</calculatedColumnFormula>
    </tableColumn>
    <tableColumn id="23" xr3:uid="{00000000-0010-0000-0800-000017000000}" name="Low" dataDxfId="1026"/>
    <tableColumn id="19" xr3:uid="{00000000-0010-0000-0800-000013000000}" name="High" dataDxfId="1025"/>
    <tableColumn id="25" xr3:uid="{00000000-0010-0000-0800-000019000000}" name="Final Total" dataDxfId="1024">
      <calculatedColumnFormula>SUM(Twirling_Solo_Program2891011121314151617185253545556575859[[#This Row],[Total]]-Twirling_Solo_Program2891011121314151617185253545556575859[[#This Row],[Low]]-Twirling_Solo_Program2891011121314151617185253545556575859[[#This Row],[High]])</calculatedColumnFormula>
    </tableColumn>
    <tableColumn id="24" xr3:uid="{00000000-0010-0000-0800-000018000000}" name="Avg" dataDxfId="1023">
      <calculatedColumnFormula>AVERAGE(I2,M2,Q2,U2)</calculatedColumnFormula>
    </tableColumn>
    <tableColumn id="22" xr3:uid="{00000000-0010-0000-0800-000016000000}" name="FINAL SCORE" dataDxfId="1022">
      <calculatedColumnFormula>Twirling_Solo_Program2891011121314151617185253545556575859[[#This Row],[Final Total]]</calculatedColumnFormula>
    </tableColumn>
    <tableColumn id="27" xr3:uid="{00000000-0010-0000-0800-00001B000000}" name="Rank" dataDxfId="1021">
      <calculatedColumnFormula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Row],[Category]],Twirling_Solo_Program2891011121314151617185253545556575859[FINAL SCORE],"&gt;"&amp;Twirling_Solo_Program2891011121314151617185253545556575859[[#This Row],[FINAL SCORE]])+1</calculatedColumnFormula>
    </tableColumn>
    <tableColumn id="39" xr3:uid="{00000000-0010-0000-0800-000027000000}" name="Category Type" dataDxfId="1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4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6"/>
  <sheetViews>
    <sheetView tabSelected="1" zoomScale="80" zoomScaleNormal="80" workbookViewId="0">
      <pane ySplit="1" topLeftCell="A2" activePane="bottomLeft" state="frozen"/>
      <selection pane="bottomLeft" activeCell="G6" sqref="G6"/>
    </sheetView>
  </sheetViews>
  <sheetFormatPr defaultColWidth="9.140625" defaultRowHeight="16.5" x14ac:dyDescent="0.3"/>
  <cols>
    <col min="1" max="1" width="5.85546875" style="27" customWidth="1"/>
    <col min="2" max="2" width="5.7109375" style="27" customWidth="1"/>
    <col min="3" max="3" width="12.7109375" style="28" customWidth="1"/>
    <col min="4" max="4" width="7.7109375" style="28" customWidth="1"/>
    <col min="5" max="5" width="9.7109375" style="18" customWidth="1"/>
    <col min="6" max="6" width="17.140625" style="18" customWidth="1"/>
    <col min="7" max="7" width="47.28515625" style="18" customWidth="1"/>
    <col min="8" max="8" width="9.140625" style="18" customWidth="1"/>
    <col min="9" max="11" width="9.140625" style="18" hidden="1" customWidth="1"/>
    <col min="12" max="12" width="9.85546875" style="18" hidden="1" customWidth="1"/>
    <col min="13" max="16" width="9.140625" style="18" customWidth="1"/>
    <col min="17" max="20" width="9.140625" style="18" hidden="1" customWidth="1"/>
    <col min="21" max="21" width="9.140625" style="18" customWidth="1"/>
    <col min="22" max="22" width="9.140625" style="18" hidden="1" customWidth="1"/>
    <col min="23" max="23" width="9.140625" style="18" customWidth="1"/>
    <col min="24" max="24" width="9.140625" style="14" customWidth="1"/>
    <col min="25" max="25" width="9.7109375" style="18" customWidth="1"/>
    <col min="26" max="27" width="9.7109375" style="18" hidden="1" customWidth="1"/>
    <col min="28" max="28" width="9.7109375" style="18" customWidth="1"/>
    <col min="29" max="29" width="7.5703125" style="18" customWidth="1"/>
    <col min="30" max="30" width="8.42578125" style="18" customWidth="1"/>
    <col min="31" max="16384" width="9.140625" style="18"/>
  </cols>
  <sheetData>
    <row r="1" spans="1:50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x14ac:dyDescent="0.3">
      <c r="A2" s="16">
        <v>14</v>
      </c>
      <c r="B2" s="17">
        <v>2</v>
      </c>
      <c r="C2" s="17" t="s">
        <v>49</v>
      </c>
      <c r="D2" s="17" t="s">
        <v>23</v>
      </c>
      <c r="E2" s="17" t="s">
        <v>60</v>
      </c>
      <c r="F2" s="17" t="s">
        <v>61</v>
      </c>
      <c r="G2" s="17" t="s">
        <v>37</v>
      </c>
      <c r="H2" s="18" t="s">
        <v>25</v>
      </c>
      <c r="I2" s="19"/>
      <c r="J2" s="20"/>
      <c r="K2" s="21">
        <f>Twirling_Solo_Program289101112131415161718[[#This Row],[Judge 1
Tamara Beljak]]-J2</f>
        <v>0</v>
      </c>
      <c r="L2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f>
        <v>1</v>
      </c>
      <c r="M2" s="19">
        <v>20.5</v>
      </c>
      <c r="N2" s="20">
        <v>0</v>
      </c>
      <c r="O2" s="21">
        <f>Twirling_Solo_Program289101112131415161718[[#This Row],[Judge 2
Tihomir Bendelja]]-Twirling_Solo_Program289101112131415161718[[#This Row],[J2 (-)]]</f>
        <v>20.5</v>
      </c>
      <c r="P2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f>
        <v>1</v>
      </c>
      <c r="Q2" s="19"/>
      <c r="R2" s="20"/>
      <c r="S2" s="21">
        <f>Twirling_Solo_Program289101112131415161718[[#This Row],[Judge 3
Barbara Novina]]-R2</f>
        <v>0</v>
      </c>
      <c r="T2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f>
        <v>1</v>
      </c>
      <c r="U2" s="19">
        <v>20.399999999999999</v>
      </c>
      <c r="V2" s="20">
        <v>0</v>
      </c>
      <c r="W2" s="21">
        <f>Twirling_Solo_Program289101112131415161718[[#This Row],[Judge 4
Bernard Barač]]-V2</f>
        <v>20.399999999999999</v>
      </c>
      <c r="X2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f>
        <v>1</v>
      </c>
      <c r="Y2" s="23">
        <f>SUM(Twirling_Solo_Program289101112131415161718[[#This Row],[J1 TOTAL]]+Twirling_Solo_Program289101112131415161718[[#This Row],[J2 TOTAL]]+Twirling_Solo_Program289101112131415161718[[#This Row],[J3 TOTAL]]+Twirling_Solo_Program289101112131415161718[[#This Row],[J4 TOTAL]])</f>
        <v>40.9</v>
      </c>
      <c r="Z2" s="23"/>
      <c r="AA2" s="23"/>
      <c r="AB2" s="23">
        <f>SUM(Twirling_Solo_Program289101112131415161718[[#This Row],[Total]]-Twirling_Solo_Program289101112131415161718[[#This Row],[Low]]-Twirling_Solo_Program289101112131415161718[[#This Row],[High]])</f>
        <v>40.9</v>
      </c>
      <c r="AC2" s="23">
        <f>AVERAGE(I2,M2,Q2,U2)</f>
        <v>20.45</v>
      </c>
      <c r="AD2" s="24">
        <f>Twirling_Solo_Program289101112131415161718[[#This Row],[Final Total]]</f>
        <v>40.9</v>
      </c>
      <c r="AE2" s="25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f>
        <v>1</v>
      </c>
      <c r="AF2" s="16" t="s">
        <v>35</v>
      </c>
    </row>
    <row r="3" spans="1:50" x14ac:dyDescent="0.3">
      <c r="A3" s="16">
        <v>16</v>
      </c>
      <c r="B3" s="17">
        <v>2</v>
      </c>
      <c r="C3" s="17" t="s">
        <v>49</v>
      </c>
      <c r="D3" s="17" t="s">
        <v>23</v>
      </c>
      <c r="E3" s="17" t="s">
        <v>60</v>
      </c>
      <c r="F3" s="17" t="s">
        <v>62</v>
      </c>
      <c r="G3" s="17" t="s">
        <v>58</v>
      </c>
      <c r="H3" s="18" t="s">
        <v>25</v>
      </c>
      <c r="I3" s="19"/>
      <c r="J3" s="20"/>
      <c r="K3" s="21">
        <f>Twirling_Solo_Program289101112131415161718[[#This Row],[Judge 1
Tamara Beljak]]-J3</f>
        <v>0</v>
      </c>
      <c r="L3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f>
        <v>1</v>
      </c>
      <c r="M3" s="19">
        <v>20.399999999999999</v>
      </c>
      <c r="N3" s="20">
        <v>0.1</v>
      </c>
      <c r="O3" s="21">
        <f>Twirling_Solo_Program289101112131415161718[[#This Row],[Judge 2
Tihomir Bendelja]]-Twirling_Solo_Program289101112131415161718[[#This Row],[J2 (-)]]</f>
        <v>20.299999999999997</v>
      </c>
      <c r="P3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f>
        <v>2</v>
      </c>
      <c r="Q3" s="19"/>
      <c r="R3" s="20"/>
      <c r="S3" s="21">
        <f>Twirling_Solo_Program289101112131415161718[[#This Row],[Judge 3
Barbara Novina]]-R3</f>
        <v>0</v>
      </c>
      <c r="T3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f>
        <v>1</v>
      </c>
      <c r="U3" s="19">
        <v>20.2</v>
      </c>
      <c r="V3" s="20">
        <v>0.1</v>
      </c>
      <c r="W3" s="21">
        <f>Twirling_Solo_Program289101112131415161718[[#This Row],[Judge 4
Bernard Barač]]-V3</f>
        <v>20.099999999999998</v>
      </c>
      <c r="X3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f>
        <v>2</v>
      </c>
      <c r="Y3" s="23">
        <f>SUM(Twirling_Solo_Program289101112131415161718[[#This Row],[J1 TOTAL]]+Twirling_Solo_Program289101112131415161718[[#This Row],[J2 TOTAL]]+Twirling_Solo_Program289101112131415161718[[#This Row],[J3 TOTAL]]+Twirling_Solo_Program289101112131415161718[[#This Row],[J4 TOTAL]])</f>
        <v>40.399999999999991</v>
      </c>
      <c r="Z3" s="23"/>
      <c r="AA3" s="23"/>
      <c r="AB3" s="23">
        <f>SUM(Twirling_Solo_Program289101112131415161718[[#This Row],[Total]]-Twirling_Solo_Program289101112131415161718[[#This Row],[Low]]-Twirling_Solo_Program289101112131415161718[[#This Row],[High]])</f>
        <v>40.399999999999991</v>
      </c>
      <c r="AC3" s="23">
        <f>AVERAGE(I3,M3,Q3,U3)</f>
        <v>20.299999999999997</v>
      </c>
      <c r="AD3" s="24">
        <f>Twirling_Solo_Program289101112131415161718[[#This Row],[Final Total]]</f>
        <v>40.399999999999991</v>
      </c>
      <c r="AE3" s="25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f>
        <v>2</v>
      </c>
      <c r="AF3" s="16" t="s">
        <v>35</v>
      </c>
    </row>
    <row r="4" spans="1:50" x14ac:dyDescent="0.3">
      <c r="A4" s="16">
        <v>22</v>
      </c>
      <c r="B4" s="17">
        <v>2</v>
      </c>
      <c r="C4" s="17" t="s">
        <v>49</v>
      </c>
      <c r="D4" s="17" t="s">
        <v>23</v>
      </c>
      <c r="E4" s="17" t="s">
        <v>60</v>
      </c>
      <c r="F4" s="17" t="s">
        <v>65</v>
      </c>
      <c r="G4" s="17" t="s">
        <v>58</v>
      </c>
      <c r="H4" s="18" t="s">
        <v>25</v>
      </c>
      <c r="I4" s="19"/>
      <c r="J4" s="20"/>
      <c r="K4" s="21">
        <f>Twirling_Solo_Program289101112131415161718[[#This Row],[Judge 1
Tamara Beljak]]-J4</f>
        <v>0</v>
      </c>
      <c r="L4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f>
        <v>1</v>
      </c>
      <c r="M4" s="19">
        <v>18.3</v>
      </c>
      <c r="N4" s="20">
        <v>0.2</v>
      </c>
      <c r="O4" s="21">
        <f>Twirling_Solo_Program289101112131415161718[[#This Row],[Judge 2
Tihomir Bendelja]]-Twirling_Solo_Program289101112131415161718[[#This Row],[J2 (-)]]</f>
        <v>18.100000000000001</v>
      </c>
      <c r="P4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f>
        <v>3</v>
      </c>
      <c r="Q4" s="19"/>
      <c r="R4" s="20"/>
      <c r="S4" s="21">
        <f>Twirling_Solo_Program289101112131415161718[[#This Row],[Judge 3
Barbara Novina]]-R4</f>
        <v>0</v>
      </c>
      <c r="T4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f>
        <v>1</v>
      </c>
      <c r="U4" s="19">
        <v>20</v>
      </c>
      <c r="V4" s="20">
        <v>0.1</v>
      </c>
      <c r="W4" s="21">
        <f>Twirling_Solo_Program289101112131415161718[[#This Row],[Judge 4
Bernard Barač]]-V4</f>
        <v>19.899999999999999</v>
      </c>
      <c r="X4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f>
        <v>3</v>
      </c>
      <c r="Y4" s="23">
        <f>SUM(Twirling_Solo_Program289101112131415161718[[#This Row],[J1 TOTAL]]+Twirling_Solo_Program289101112131415161718[[#This Row],[J2 TOTAL]]+Twirling_Solo_Program289101112131415161718[[#This Row],[J3 TOTAL]]+Twirling_Solo_Program289101112131415161718[[#This Row],[J4 TOTAL]])</f>
        <v>38</v>
      </c>
      <c r="Z4" s="23"/>
      <c r="AA4" s="23"/>
      <c r="AB4" s="23">
        <f>SUM(Twirling_Solo_Program289101112131415161718[[#This Row],[Total]]-Twirling_Solo_Program289101112131415161718[[#This Row],[Low]]-Twirling_Solo_Program289101112131415161718[[#This Row],[High]])</f>
        <v>38</v>
      </c>
      <c r="AC4" s="23">
        <f>AVERAGE(I4,M4,Q4,U4)</f>
        <v>19.149999999999999</v>
      </c>
      <c r="AD4" s="24">
        <f>Twirling_Solo_Program289101112131415161718[[#This Row],[Final Total]]</f>
        <v>38</v>
      </c>
      <c r="AE4" s="25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f>
        <v>3</v>
      </c>
      <c r="AF4" s="16" t="s">
        <v>35</v>
      </c>
    </row>
    <row r="5" spans="1:50" x14ac:dyDescent="0.3">
      <c r="A5" s="16">
        <v>18</v>
      </c>
      <c r="B5" s="17">
        <v>2</v>
      </c>
      <c r="C5" s="17" t="s">
        <v>49</v>
      </c>
      <c r="D5" s="17" t="s">
        <v>23</v>
      </c>
      <c r="E5" s="17" t="s">
        <v>60</v>
      </c>
      <c r="F5" s="17" t="s">
        <v>63</v>
      </c>
      <c r="G5" s="17" t="s">
        <v>58</v>
      </c>
      <c r="H5" s="18" t="s">
        <v>25</v>
      </c>
      <c r="I5" s="19"/>
      <c r="J5" s="20"/>
      <c r="K5" s="21">
        <f>Twirling_Solo_Program289101112131415161718[[#This Row],[Judge 1
Tamara Beljak]]-J5</f>
        <v>0</v>
      </c>
      <c r="L5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f>
        <v>1</v>
      </c>
      <c r="M5" s="19">
        <v>17.600000000000001</v>
      </c>
      <c r="N5" s="20">
        <v>0.2</v>
      </c>
      <c r="O5" s="21">
        <f>Twirling_Solo_Program289101112131415161718[[#This Row],[Judge 2
Tihomir Bendelja]]-Twirling_Solo_Program289101112131415161718[[#This Row],[J2 (-)]]</f>
        <v>17.400000000000002</v>
      </c>
      <c r="P5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f>
        <v>4</v>
      </c>
      <c r="Q5" s="19"/>
      <c r="R5" s="20"/>
      <c r="S5" s="21">
        <f>Twirling_Solo_Program289101112131415161718[[#This Row],[Judge 3
Barbara Novina]]-R5</f>
        <v>0</v>
      </c>
      <c r="T5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f>
        <v>1</v>
      </c>
      <c r="U5" s="19">
        <v>19</v>
      </c>
      <c r="V5" s="20">
        <v>0.2</v>
      </c>
      <c r="W5" s="21">
        <f>Twirling_Solo_Program289101112131415161718[[#This Row],[Judge 4
Bernard Barač]]-V5</f>
        <v>18.8</v>
      </c>
      <c r="X5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f>
        <v>4</v>
      </c>
      <c r="Y5" s="23">
        <f>SUM(Twirling_Solo_Program289101112131415161718[[#This Row],[J1 TOTAL]]+Twirling_Solo_Program289101112131415161718[[#This Row],[J2 TOTAL]]+Twirling_Solo_Program289101112131415161718[[#This Row],[J3 TOTAL]]+Twirling_Solo_Program289101112131415161718[[#This Row],[J4 TOTAL]])</f>
        <v>36.200000000000003</v>
      </c>
      <c r="Z5" s="23"/>
      <c r="AA5" s="23"/>
      <c r="AB5" s="23">
        <f>SUM(Twirling_Solo_Program289101112131415161718[[#This Row],[Total]]-Twirling_Solo_Program289101112131415161718[[#This Row],[Low]]-Twirling_Solo_Program289101112131415161718[[#This Row],[High]])</f>
        <v>36.200000000000003</v>
      </c>
      <c r="AC5" s="23">
        <f>AVERAGE(I5,M5,Q5,U5)</f>
        <v>18.3</v>
      </c>
      <c r="AD5" s="24">
        <f>Twirling_Solo_Program289101112131415161718[[#This Row],[Final Total]]</f>
        <v>36.200000000000003</v>
      </c>
      <c r="AE5" s="25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f>
        <v>4</v>
      </c>
      <c r="AF5" s="16" t="s">
        <v>35</v>
      </c>
    </row>
    <row r="6" spans="1:50" x14ac:dyDescent="0.3">
      <c r="A6" s="16">
        <v>20</v>
      </c>
      <c r="B6" s="17">
        <v>2</v>
      </c>
      <c r="C6" s="17" t="s">
        <v>49</v>
      </c>
      <c r="D6" s="17" t="s">
        <v>23</v>
      </c>
      <c r="E6" s="17" t="s">
        <v>60</v>
      </c>
      <c r="F6" s="17" t="s">
        <v>64</v>
      </c>
      <c r="G6" s="17" t="s">
        <v>24</v>
      </c>
      <c r="H6" s="18" t="s">
        <v>25</v>
      </c>
      <c r="I6" s="19"/>
      <c r="J6" s="20"/>
      <c r="K6" s="21">
        <f>Twirling_Solo_Program289101112131415161718[[#This Row],[Judge 1
Tamara Beljak]]-J6</f>
        <v>0</v>
      </c>
      <c r="L6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Row],[Category]],Twirling_Solo_Program289101112131415161718[J1 TOTAL],"&gt;"&amp;Twirling_Solo_Program289101112131415161718[[#This Row],[J1 TOTAL]])+1</f>
        <v>1</v>
      </c>
      <c r="M6" s="19">
        <v>16.7</v>
      </c>
      <c r="N6" s="20">
        <v>0.1</v>
      </c>
      <c r="O6" s="21">
        <f>Twirling_Solo_Program289101112131415161718[[#This Row],[Judge 2
Tihomir Bendelja]]-Twirling_Solo_Program289101112131415161718[[#This Row],[J2 (-)]]</f>
        <v>16.599999999999998</v>
      </c>
      <c r="P6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Row],[Category]],Twirling_Solo_Program289101112131415161718[J2 TOTAL],"&gt;"&amp;Twirling_Solo_Program289101112131415161718[[#This Row],[J2 TOTAL]])+1</f>
        <v>5</v>
      </c>
      <c r="Q6" s="19"/>
      <c r="R6" s="20"/>
      <c r="S6" s="21">
        <f>Twirling_Solo_Program289101112131415161718[[#This Row],[Judge 3
Barbara Novina]]-R6</f>
        <v>0</v>
      </c>
      <c r="T6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Row],[Category]],Twirling_Solo_Program289101112131415161718[J3 TOTAL],"&gt;"&amp;Twirling_Solo_Program289101112131415161718[[#This Row],[J3 TOTAL]])+1</f>
        <v>1</v>
      </c>
      <c r="U6" s="19">
        <v>18.600000000000001</v>
      </c>
      <c r="V6" s="20">
        <v>0.1</v>
      </c>
      <c r="W6" s="21">
        <f>Twirling_Solo_Program289101112131415161718[[#This Row],[Judge 4
Bernard Barač]]-V6</f>
        <v>18.5</v>
      </c>
      <c r="X6" s="22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Row],[Category]],Twirling_Solo_Program289101112131415161718[J4 TOTAL],"&gt;"&amp;Twirling_Solo_Program289101112131415161718[[#This Row],[J4 TOTAL]])+1</f>
        <v>5</v>
      </c>
      <c r="Y6" s="23">
        <f>SUM(Twirling_Solo_Program289101112131415161718[[#This Row],[J1 TOTAL]]+Twirling_Solo_Program289101112131415161718[[#This Row],[J2 TOTAL]]+Twirling_Solo_Program289101112131415161718[[#This Row],[J3 TOTAL]]+Twirling_Solo_Program289101112131415161718[[#This Row],[J4 TOTAL]])</f>
        <v>35.099999999999994</v>
      </c>
      <c r="Z6" s="23"/>
      <c r="AA6" s="23"/>
      <c r="AB6" s="23">
        <f>SUM(Twirling_Solo_Program289101112131415161718[[#This Row],[Total]]-Twirling_Solo_Program289101112131415161718[[#This Row],[Low]]-Twirling_Solo_Program289101112131415161718[[#This Row],[High]])</f>
        <v>35.099999999999994</v>
      </c>
      <c r="AC6" s="23">
        <f>AVERAGE(I6,M6,Q6,U6)</f>
        <v>17.649999999999999</v>
      </c>
      <c r="AD6" s="24">
        <f>Twirling_Solo_Program289101112131415161718[[#This Row],[Final Total]]</f>
        <v>35.099999999999994</v>
      </c>
      <c r="AE6" s="25">
        <f>COUNTIFS(Twirling_Solo_Program289101112131415161718[Age
Division],Twirling_Solo_Program289101112131415161718[[#This Row],[Age
Division]],Twirling_Solo_Program289101112131415161718[Category],Twirling_Solo_Program289101112131415161718[[#This Row],[Category]],Twirling_Solo_Program289101112131415161718[FINAL SCORE],"&gt;"&amp;Twirling_Solo_Program289101112131415161718[[#This Row],[FINAL SCORE]])+1</f>
        <v>5</v>
      </c>
      <c r="AF6" s="16" t="s">
        <v>35</v>
      </c>
    </row>
  </sheetData>
  <sheetProtection algorithmName="SHA-512" hashValue="2VItCjGXwcqhHnIkHi6pcU7mXGL6EmLEXiwfD5Pfj2GbAqJvB1sbb2kcF9Mtp30Y2jEJ9x8bhtLgzN/DQTitdg==" saltValue="18K3WNsXGnXXTiLZAu78cQ==" spinCount="100000" sheet="1" objects="1" scenarios="1" formatColumns="0" formatRows="0" autoFilter="0"/>
  <phoneticPr fontId="8" type="noConversion"/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3" style="27" customWidth="1"/>
    <col min="4" max="4" width="7.5703125" style="28" customWidth="1"/>
    <col min="5" max="5" width="11" style="28" customWidth="1"/>
    <col min="6" max="6" width="11.7109375" style="18" customWidth="1"/>
    <col min="7" max="7" width="37.28515625" style="18" customWidth="1"/>
    <col min="8" max="8" width="9.28515625" style="18" customWidth="1"/>
    <col min="9" max="12" width="9.140625" style="18" customWidth="1"/>
    <col min="13" max="16" width="9.140625" style="18" hidden="1" customWidth="1"/>
    <col min="17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34</v>
      </c>
      <c r="B2" s="17">
        <v>1</v>
      </c>
      <c r="C2" s="17" t="s">
        <v>93</v>
      </c>
      <c r="D2" s="17" t="s">
        <v>23</v>
      </c>
      <c r="E2" s="17" t="s">
        <v>95</v>
      </c>
      <c r="F2" s="17" t="s">
        <v>96</v>
      </c>
      <c r="G2" s="17" t="s">
        <v>37</v>
      </c>
      <c r="H2" s="18" t="s">
        <v>25</v>
      </c>
      <c r="I2" s="19">
        <v>17.8</v>
      </c>
      <c r="J2" s="20">
        <v>0.9</v>
      </c>
      <c r="K2" s="21">
        <f>Twirling_Solo_Program28910111213141516171852535455565758[[#This Row],[Judge 1
Tamara Beljak]]-J2</f>
        <v>16.900000000000002</v>
      </c>
      <c r="L2" s="22">
        <f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Row],[Category]],Twirling_Solo_Program28910111213141516171852535455565758[J1 TOTAL],"&gt;"&amp;Twirling_Solo_Program28910111213141516171852535455565758[[#This Row],[J1 TOTAL]])+1</f>
        <v>1</v>
      </c>
      <c r="M2" s="19"/>
      <c r="N2" s="20"/>
      <c r="O2" s="21">
        <f>Twirling_Solo_Program28910111213141516171852535455565758[[#This Row],[Judge 2
Tihomir Bendelja]]-Twirling_Solo_Program28910111213141516171852535455565758[[#This Row],[J2 (-)]]</f>
        <v>0</v>
      </c>
      <c r="P2" s="22">
        <f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Row],[Category]],Twirling_Solo_Program28910111213141516171852535455565758[J2 TOTAL],"&gt;"&amp;Twirling_Solo_Program28910111213141516171852535455565758[[#This Row],[J2 TOTAL]])+1</f>
        <v>1</v>
      </c>
      <c r="Q2" s="19">
        <v>17.399999999999999</v>
      </c>
      <c r="R2" s="20">
        <v>0.8</v>
      </c>
      <c r="S2" s="21">
        <f>Twirling_Solo_Program28910111213141516171852535455565758[[#This Row],[Judge 3
Barbara Novina]]-R2</f>
        <v>16.599999999999998</v>
      </c>
      <c r="T2" s="22">
        <f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Row],[Category]],Twirling_Solo_Program28910111213141516171852535455565758[J3 TOTAL],"&gt;"&amp;Twirling_Solo_Program28910111213141516171852535455565758[[#This Row],[J3 TOTAL]])+1</f>
        <v>1</v>
      </c>
      <c r="U2" s="19"/>
      <c r="V2" s="20"/>
      <c r="W2" s="21">
        <f>Twirling_Solo_Program28910111213141516171852535455565758[[#This Row],[Judge 4
Bernard Barač]]-V2</f>
        <v>0</v>
      </c>
      <c r="X2" s="22">
        <f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Row],[Category]],Twirling_Solo_Program28910111213141516171852535455565758[J4 TOTAL],"&gt;"&amp;Twirling_Solo_Program28910111213141516171852535455565758[[#This Row],[J4 TOTAL]])+1</f>
        <v>1</v>
      </c>
      <c r="Y2" s="23">
        <f>SUM(Twirling_Solo_Program28910111213141516171852535455565758[[#This Row],[J1 TOTAL]]+Twirling_Solo_Program28910111213141516171852535455565758[[#This Row],[J2 TOTAL]]+Twirling_Solo_Program28910111213141516171852535455565758[[#This Row],[J3 TOTAL]]+Twirling_Solo_Program28910111213141516171852535455565758[[#This Row],[J4 TOTAL]])</f>
        <v>33.5</v>
      </c>
      <c r="Z2" s="23"/>
      <c r="AA2" s="23"/>
      <c r="AB2" s="23">
        <f>SUM(Twirling_Solo_Program28910111213141516171852535455565758[[#This Row],[Total]]-Twirling_Solo_Program28910111213141516171852535455565758[[#This Row],[Low]]-Twirling_Solo_Program28910111213141516171852535455565758[[#This Row],[High]])</f>
        <v>33.5</v>
      </c>
      <c r="AC2" s="23">
        <f>AVERAGE(I2,M2,Q2,U2)</f>
        <v>17.600000000000001</v>
      </c>
      <c r="AD2" s="24">
        <f>Twirling_Solo_Program28910111213141516171852535455565758[[#This Row],[Final Total]]</f>
        <v>33.5</v>
      </c>
      <c r="AE2" s="25">
        <f>COUNTIFS(Twirling_Solo_Program28910111213141516171852535455565758[Age
Division],Twirling_Solo_Program28910111213141516171852535455565758[[#This Row],[Age
Division]],Twirling_Solo_Program28910111213141516171852535455565758[Category],Twirling_Solo_Program28910111213141516171852535455565758[[#This Row],[Category]],Twirling_Solo_Program28910111213141516171852535455565758[FINAL SCORE],"&gt;"&amp;Twirling_Solo_Program28910111213141516171852535455565758[[#This Row],[FINAL SCORE]])+1</f>
        <v>1</v>
      </c>
      <c r="AF2" s="16" t="s">
        <v>35</v>
      </c>
    </row>
  </sheetData>
  <sheetProtection algorithmName="SHA-512" hashValue="J/ZlIIAgM9T8HHmjCFwUM4cxgOjtUd0AMkahr9rQDIl6HkAB/nngmDZWdyaOi6CWCqiwdLCTZEGKjlzUxeqr2w==" saltValue="yGC8yTisFVjswZ7Qm+d0J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5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3.42578125" style="27" customWidth="1"/>
    <col min="4" max="4" width="9" style="28" customWidth="1"/>
    <col min="5" max="5" width="11.5703125" style="28" customWidth="1"/>
    <col min="6" max="6" width="18" style="18" customWidth="1"/>
    <col min="7" max="7" width="43.42578125" style="18" customWidth="1"/>
    <col min="8" max="8" width="9.85546875" style="18" customWidth="1"/>
    <col min="9" max="12" width="9.140625" style="18" hidden="1" customWidth="1"/>
    <col min="13" max="16" width="9.140625" style="18" customWidth="1"/>
    <col min="17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41</v>
      </c>
      <c r="B2" s="17">
        <v>2</v>
      </c>
      <c r="C2" s="17" t="s">
        <v>93</v>
      </c>
      <c r="D2" s="17" t="s">
        <v>27</v>
      </c>
      <c r="E2" s="17" t="s">
        <v>94</v>
      </c>
      <c r="F2" s="17" t="s">
        <v>81</v>
      </c>
      <c r="G2" s="17" t="s">
        <v>58</v>
      </c>
      <c r="H2" s="18" t="s">
        <v>25</v>
      </c>
      <c r="I2" s="19"/>
      <c r="J2" s="20"/>
      <c r="K2" s="21">
        <f>Twirling_Solo_Program2891011121314151617185253545556575860[[#This Row],[Judge 1
Tamara Beljak]]-J2</f>
        <v>0</v>
      </c>
      <c r="L2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Row],[Category]],Twirling_Solo_Program2891011121314151617185253545556575860[J1 TOTAL],"&gt;"&amp;Twirling_Solo_Program2891011121314151617185253545556575860[[#This Row],[J1 TOTAL]])+1</f>
        <v>1</v>
      </c>
      <c r="M2" s="19">
        <v>27.1</v>
      </c>
      <c r="N2" s="20">
        <v>0.1</v>
      </c>
      <c r="O2" s="21">
        <f>Twirling_Solo_Program2891011121314151617185253545556575860[[#This Row],[Judge 2
Tihomir Bendelja]]-Twirling_Solo_Program2891011121314151617185253545556575860[[#This Row],[J2 (-)]]</f>
        <v>27</v>
      </c>
      <c r="P2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Row],[Category]],Twirling_Solo_Program2891011121314151617185253545556575860[J2 TOTAL],"&gt;"&amp;Twirling_Solo_Program2891011121314151617185253545556575860[[#This Row],[J2 TOTAL]])+1</f>
        <v>1</v>
      </c>
      <c r="Q2" s="19"/>
      <c r="R2" s="20"/>
      <c r="S2" s="21">
        <f>Twirling_Solo_Program2891011121314151617185253545556575860[[#This Row],[Judge 3
Barbara Novina]]-R2</f>
        <v>0</v>
      </c>
      <c r="T2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Row],[Category]],Twirling_Solo_Program2891011121314151617185253545556575860[J3 TOTAL],"&gt;"&amp;Twirling_Solo_Program2891011121314151617185253545556575860[[#This Row],[J3 TOTAL]])+1</f>
        <v>1</v>
      </c>
      <c r="U2" s="19">
        <v>26.3</v>
      </c>
      <c r="V2" s="20">
        <v>0.1</v>
      </c>
      <c r="W2" s="21">
        <f>Twirling_Solo_Program2891011121314151617185253545556575860[[#This Row],[Judge 4
Bernard Barač]]-V2</f>
        <v>26.2</v>
      </c>
      <c r="X2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Row],[Category]],Twirling_Solo_Program2891011121314151617185253545556575860[J4 TOTAL],"&gt;"&amp;Twirling_Solo_Program2891011121314151617185253545556575860[[#This Row],[J4 TOTAL]])+1</f>
        <v>1</v>
      </c>
      <c r="Y2" s="23">
        <f>SUM(Twirling_Solo_Program2891011121314151617185253545556575860[[#This Row],[J1 TOTAL]]+Twirling_Solo_Program2891011121314151617185253545556575860[[#This Row],[J2 TOTAL]]+Twirling_Solo_Program2891011121314151617185253545556575860[[#This Row],[J3 TOTAL]]+Twirling_Solo_Program2891011121314151617185253545556575860[[#This Row],[J4 TOTAL]])</f>
        <v>53.2</v>
      </c>
      <c r="Z2" s="23"/>
      <c r="AA2" s="23"/>
      <c r="AB2" s="23">
        <f>SUM(Twirling_Solo_Program2891011121314151617185253545556575860[[#This Row],[Total]]-Twirling_Solo_Program2891011121314151617185253545556575860[[#This Row],[Low]]-Twirling_Solo_Program2891011121314151617185253545556575860[[#This Row],[High]])</f>
        <v>53.2</v>
      </c>
      <c r="AC2" s="23">
        <f>AVERAGE(I2,M2,Q2,U2)</f>
        <v>26.700000000000003</v>
      </c>
      <c r="AD2" s="24">
        <f>Twirling_Solo_Program2891011121314151617185253545556575860[[#This Row],[Final Total]]</f>
        <v>53.2</v>
      </c>
      <c r="AE2" s="25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Row],[Category]],Twirling_Solo_Program2891011121314151617185253545556575860[FINAL SCORE],"&gt;"&amp;Twirling_Solo_Program2891011121314151617185253545556575860[[#This Row],[FINAL SCORE]])+1</f>
        <v>1</v>
      </c>
      <c r="AF2" s="16" t="s">
        <v>35</v>
      </c>
    </row>
    <row r="3" spans="1:51" x14ac:dyDescent="0.3">
      <c r="A3" s="16">
        <v>37</v>
      </c>
      <c r="B3" s="17">
        <v>2</v>
      </c>
      <c r="C3" s="17" t="s">
        <v>93</v>
      </c>
      <c r="D3" s="17" t="s">
        <v>27</v>
      </c>
      <c r="E3" s="17" t="s">
        <v>94</v>
      </c>
      <c r="F3" s="17" t="s">
        <v>69</v>
      </c>
      <c r="G3" s="17" t="s">
        <v>58</v>
      </c>
      <c r="H3" s="18" t="s">
        <v>25</v>
      </c>
      <c r="I3" s="19"/>
      <c r="J3" s="20"/>
      <c r="K3" s="21">
        <f>Twirling_Solo_Program2891011121314151617185253545556575860[[#This Row],[Judge 1
Tamara Beljak]]-J3</f>
        <v>0</v>
      </c>
      <c r="L3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Row],[Category]],Twirling_Solo_Program2891011121314151617185253545556575860[J1 TOTAL],"&gt;"&amp;Twirling_Solo_Program2891011121314151617185253545556575860[[#This Row],[J1 TOTAL]])+1</f>
        <v>1</v>
      </c>
      <c r="M3" s="19">
        <v>25.8</v>
      </c>
      <c r="N3" s="20">
        <v>0.1</v>
      </c>
      <c r="O3" s="21">
        <f>Twirling_Solo_Program2891011121314151617185253545556575860[[#This Row],[Judge 2
Tihomir Bendelja]]-Twirling_Solo_Program2891011121314151617185253545556575860[[#This Row],[J2 (-)]]</f>
        <v>25.7</v>
      </c>
      <c r="P3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Row],[Category]],Twirling_Solo_Program2891011121314151617185253545556575860[J2 TOTAL],"&gt;"&amp;Twirling_Solo_Program2891011121314151617185253545556575860[[#This Row],[J2 TOTAL]])+1</f>
        <v>2</v>
      </c>
      <c r="Q3" s="19"/>
      <c r="R3" s="20"/>
      <c r="S3" s="21">
        <f>Twirling_Solo_Program2891011121314151617185253545556575860[[#This Row],[Judge 3
Barbara Novina]]-R3</f>
        <v>0</v>
      </c>
      <c r="T3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Row],[Category]],Twirling_Solo_Program2891011121314151617185253545556575860[J3 TOTAL],"&gt;"&amp;Twirling_Solo_Program2891011121314151617185253545556575860[[#This Row],[J3 TOTAL]])+1</f>
        <v>1</v>
      </c>
      <c r="U3" s="19">
        <v>26</v>
      </c>
      <c r="V3" s="20">
        <v>0</v>
      </c>
      <c r="W3" s="21">
        <f>Twirling_Solo_Program2891011121314151617185253545556575860[[#This Row],[Judge 4
Bernard Barač]]-V3</f>
        <v>26</v>
      </c>
      <c r="X3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Row],[Category]],Twirling_Solo_Program2891011121314151617185253545556575860[J4 TOTAL],"&gt;"&amp;Twirling_Solo_Program2891011121314151617185253545556575860[[#This Row],[J4 TOTAL]])+1</f>
        <v>2</v>
      </c>
      <c r="Y3" s="23">
        <f>SUM(Twirling_Solo_Program2891011121314151617185253545556575860[[#This Row],[J1 TOTAL]]+Twirling_Solo_Program2891011121314151617185253545556575860[[#This Row],[J2 TOTAL]]+Twirling_Solo_Program2891011121314151617185253545556575860[[#This Row],[J3 TOTAL]]+Twirling_Solo_Program2891011121314151617185253545556575860[[#This Row],[J4 TOTAL]])</f>
        <v>51.7</v>
      </c>
      <c r="Z3" s="23"/>
      <c r="AA3" s="23"/>
      <c r="AB3" s="23">
        <f>SUM(Twirling_Solo_Program2891011121314151617185253545556575860[[#This Row],[Total]]-Twirling_Solo_Program2891011121314151617185253545556575860[[#This Row],[Low]]-Twirling_Solo_Program2891011121314151617185253545556575860[[#This Row],[High]])</f>
        <v>51.7</v>
      </c>
      <c r="AC3" s="23">
        <f>AVERAGE(I3,M3,Q3,U3)</f>
        <v>25.9</v>
      </c>
      <c r="AD3" s="24">
        <f>Twirling_Solo_Program2891011121314151617185253545556575860[[#This Row],[Final Total]]</f>
        <v>51.7</v>
      </c>
      <c r="AE3" s="25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Row],[Category]],Twirling_Solo_Program2891011121314151617185253545556575860[FINAL SCORE],"&gt;"&amp;Twirling_Solo_Program2891011121314151617185253545556575860[[#This Row],[FINAL SCORE]])+1</f>
        <v>2</v>
      </c>
      <c r="AF3" s="16" t="s">
        <v>35</v>
      </c>
    </row>
    <row r="4" spans="1:51" x14ac:dyDescent="0.3">
      <c r="A4" s="16">
        <v>35</v>
      </c>
      <c r="B4" s="17">
        <v>2</v>
      </c>
      <c r="C4" s="17" t="s">
        <v>93</v>
      </c>
      <c r="D4" s="17" t="s">
        <v>27</v>
      </c>
      <c r="E4" s="17" t="s">
        <v>94</v>
      </c>
      <c r="F4" s="17" t="s">
        <v>68</v>
      </c>
      <c r="G4" s="17" t="s">
        <v>58</v>
      </c>
      <c r="H4" s="18" t="s">
        <v>25</v>
      </c>
      <c r="I4" s="19"/>
      <c r="J4" s="20"/>
      <c r="K4" s="21">
        <f>Twirling_Solo_Program2891011121314151617185253545556575860[[#This Row],[Judge 1
Tamara Beljak]]-J4</f>
        <v>0</v>
      </c>
      <c r="L4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Row],[Category]],Twirling_Solo_Program2891011121314151617185253545556575860[J1 TOTAL],"&gt;"&amp;Twirling_Solo_Program2891011121314151617185253545556575860[[#This Row],[J1 TOTAL]])+1</f>
        <v>1</v>
      </c>
      <c r="M4" s="19">
        <v>25.6</v>
      </c>
      <c r="N4" s="20">
        <v>0.1</v>
      </c>
      <c r="O4" s="21">
        <f>Twirling_Solo_Program2891011121314151617185253545556575860[[#This Row],[Judge 2
Tihomir Bendelja]]-Twirling_Solo_Program2891011121314151617185253545556575860[[#This Row],[J2 (-)]]</f>
        <v>25.5</v>
      </c>
      <c r="P4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Row],[Category]],Twirling_Solo_Program2891011121314151617185253545556575860[J2 TOTAL],"&gt;"&amp;Twirling_Solo_Program2891011121314151617185253545556575860[[#This Row],[J2 TOTAL]])+1</f>
        <v>3</v>
      </c>
      <c r="Q4" s="19"/>
      <c r="R4" s="20"/>
      <c r="S4" s="21">
        <f>Twirling_Solo_Program2891011121314151617185253545556575860[[#This Row],[Judge 3
Barbara Novina]]-R4</f>
        <v>0</v>
      </c>
      <c r="T4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Row],[Category]],Twirling_Solo_Program2891011121314151617185253545556575860[J3 TOTAL],"&gt;"&amp;Twirling_Solo_Program2891011121314151617185253545556575860[[#This Row],[J3 TOTAL]])+1</f>
        <v>1</v>
      </c>
      <c r="U4" s="19">
        <v>25.8</v>
      </c>
      <c r="V4" s="20">
        <v>0.1</v>
      </c>
      <c r="W4" s="21">
        <f>Twirling_Solo_Program2891011121314151617185253545556575860[[#This Row],[Judge 4
Bernard Barač]]-V4</f>
        <v>25.7</v>
      </c>
      <c r="X4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Row],[Category]],Twirling_Solo_Program2891011121314151617185253545556575860[J4 TOTAL],"&gt;"&amp;Twirling_Solo_Program2891011121314151617185253545556575860[[#This Row],[J4 TOTAL]])+1</f>
        <v>3</v>
      </c>
      <c r="Y4" s="23">
        <f>SUM(Twirling_Solo_Program2891011121314151617185253545556575860[[#This Row],[J1 TOTAL]]+Twirling_Solo_Program2891011121314151617185253545556575860[[#This Row],[J2 TOTAL]]+Twirling_Solo_Program2891011121314151617185253545556575860[[#This Row],[J3 TOTAL]]+Twirling_Solo_Program2891011121314151617185253545556575860[[#This Row],[J4 TOTAL]])</f>
        <v>51.2</v>
      </c>
      <c r="Z4" s="23"/>
      <c r="AA4" s="23"/>
      <c r="AB4" s="23">
        <f>SUM(Twirling_Solo_Program2891011121314151617185253545556575860[[#This Row],[Total]]-Twirling_Solo_Program2891011121314151617185253545556575860[[#This Row],[Low]]-Twirling_Solo_Program2891011121314151617185253545556575860[[#This Row],[High]])</f>
        <v>51.2</v>
      </c>
      <c r="AC4" s="23">
        <f>AVERAGE(I4,M4,Q4,U4)</f>
        <v>25.700000000000003</v>
      </c>
      <c r="AD4" s="24">
        <f>Twirling_Solo_Program2891011121314151617185253545556575860[[#This Row],[Final Total]]</f>
        <v>51.2</v>
      </c>
      <c r="AE4" s="25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Row],[Category]],Twirling_Solo_Program2891011121314151617185253545556575860[FINAL SCORE],"&gt;"&amp;Twirling_Solo_Program2891011121314151617185253545556575860[[#This Row],[FINAL SCORE]])+1</f>
        <v>3</v>
      </c>
      <c r="AF4" s="16" t="s">
        <v>35</v>
      </c>
    </row>
    <row r="5" spans="1:51" x14ac:dyDescent="0.3">
      <c r="A5" s="16">
        <v>39</v>
      </c>
      <c r="B5" s="17">
        <v>2</v>
      </c>
      <c r="C5" s="17" t="s">
        <v>93</v>
      </c>
      <c r="D5" s="17" t="s">
        <v>27</v>
      </c>
      <c r="E5" s="17" t="s">
        <v>94</v>
      </c>
      <c r="F5" s="17" t="s">
        <v>97</v>
      </c>
      <c r="G5" s="17" t="s">
        <v>52</v>
      </c>
      <c r="H5" s="18" t="s">
        <v>25</v>
      </c>
      <c r="I5" s="19"/>
      <c r="J5" s="20"/>
      <c r="K5" s="21">
        <f>Twirling_Solo_Program2891011121314151617185253545556575860[[#This Row],[Judge 1
Tamara Beljak]]-J5</f>
        <v>0</v>
      </c>
      <c r="L5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Row],[Category]],Twirling_Solo_Program2891011121314151617185253545556575860[J1 TOTAL],"&gt;"&amp;Twirling_Solo_Program2891011121314151617185253545556575860[[#This Row],[J1 TOTAL]])+1</f>
        <v>1</v>
      </c>
      <c r="M5" s="19">
        <v>23.8</v>
      </c>
      <c r="N5" s="20">
        <v>0.5</v>
      </c>
      <c r="O5" s="21">
        <f>Twirling_Solo_Program2891011121314151617185253545556575860[[#This Row],[Judge 2
Tihomir Bendelja]]-Twirling_Solo_Program2891011121314151617185253545556575860[[#This Row],[J2 (-)]]</f>
        <v>23.3</v>
      </c>
      <c r="P5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Row],[Category]],Twirling_Solo_Program2891011121314151617185253545556575860[J2 TOTAL],"&gt;"&amp;Twirling_Solo_Program2891011121314151617185253545556575860[[#This Row],[J2 TOTAL]])+1</f>
        <v>4</v>
      </c>
      <c r="Q5" s="19"/>
      <c r="R5" s="20"/>
      <c r="S5" s="21">
        <f>Twirling_Solo_Program2891011121314151617185253545556575860[[#This Row],[Judge 3
Barbara Novina]]-R5</f>
        <v>0</v>
      </c>
      <c r="T5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Row],[Category]],Twirling_Solo_Program2891011121314151617185253545556575860[J3 TOTAL],"&gt;"&amp;Twirling_Solo_Program2891011121314151617185253545556575860[[#This Row],[J3 TOTAL]])+1</f>
        <v>1</v>
      </c>
      <c r="U5" s="19">
        <v>25.1</v>
      </c>
      <c r="V5" s="20">
        <v>0.4</v>
      </c>
      <c r="W5" s="21">
        <f>Twirling_Solo_Program2891011121314151617185253545556575860[[#This Row],[Judge 4
Bernard Barač]]-V5</f>
        <v>24.700000000000003</v>
      </c>
      <c r="X5" s="22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Row],[Category]],Twirling_Solo_Program2891011121314151617185253545556575860[J4 TOTAL],"&gt;"&amp;Twirling_Solo_Program2891011121314151617185253545556575860[[#This Row],[J4 TOTAL]])+1</f>
        <v>4</v>
      </c>
      <c r="Y5" s="23">
        <f>SUM(Twirling_Solo_Program2891011121314151617185253545556575860[[#This Row],[J1 TOTAL]]+Twirling_Solo_Program2891011121314151617185253545556575860[[#This Row],[J2 TOTAL]]+Twirling_Solo_Program2891011121314151617185253545556575860[[#This Row],[J3 TOTAL]]+Twirling_Solo_Program2891011121314151617185253545556575860[[#This Row],[J4 TOTAL]])</f>
        <v>48</v>
      </c>
      <c r="Z5" s="23"/>
      <c r="AA5" s="23"/>
      <c r="AB5" s="23">
        <f>SUM(Twirling_Solo_Program2891011121314151617185253545556575860[[#This Row],[Total]]-Twirling_Solo_Program2891011121314151617185253545556575860[[#This Row],[Low]]-Twirling_Solo_Program2891011121314151617185253545556575860[[#This Row],[High]])</f>
        <v>48</v>
      </c>
      <c r="AC5" s="23">
        <f>AVERAGE(I5,M5,Q5,U5)</f>
        <v>24.450000000000003</v>
      </c>
      <c r="AD5" s="24">
        <f>Twirling_Solo_Program2891011121314151617185253545556575860[[#This Row],[Final Total]]</f>
        <v>48</v>
      </c>
      <c r="AE5" s="25">
        <f>COUNTIFS(Twirling_Solo_Program2891011121314151617185253545556575860[Age
Division],Twirling_Solo_Program2891011121314151617185253545556575860[[#This Row],[Age
Division]],Twirling_Solo_Program2891011121314151617185253545556575860[Category],Twirling_Solo_Program2891011121314151617185253545556575860[[#This Row],[Category]],Twirling_Solo_Program2891011121314151617185253545556575860[FINAL SCORE],"&gt;"&amp;Twirling_Solo_Program2891011121314151617185253545556575860[[#This Row],[FINAL SCORE]])+1</f>
        <v>4</v>
      </c>
      <c r="AF5" s="16" t="s">
        <v>35</v>
      </c>
    </row>
  </sheetData>
  <sheetProtection algorithmName="SHA-512" hashValue="wiBxGtXbwWqHlFRt3sYyEHOEZQSMohzSDTI6GvKuGY+7hJFDCCxFDpOsudJLL14APWpLnvap8QdKtuWlkyd+hw==" saltValue="4PyvFrCwHzzz5xALP+Y+1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3.28515625" style="27" customWidth="1"/>
    <col min="4" max="4" width="9.7109375" style="28" customWidth="1"/>
    <col min="5" max="5" width="12.140625" style="28" customWidth="1"/>
    <col min="6" max="6" width="15.7109375" style="18" customWidth="1"/>
    <col min="7" max="7" width="45.7109375" style="18" customWidth="1"/>
    <col min="8" max="8" width="9.42578125" style="18" customWidth="1"/>
    <col min="9" max="12" width="9.140625" style="18" customWidth="1"/>
    <col min="13" max="16" width="9.140625" style="18" hidden="1" customWidth="1"/>
    <col min="17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40</v>
      </c>
      <c r="B2" s="17">
        <v>1</v>
      </c>
      <c r="C2" s="17" t="s">
        <v>93</v>
      </c>
      <c r="D2" s="17" t="s">
        <v>29</v>
      </c>
      <c r="E2" s="17" t="s">
        <v>94</v>
      </c>
      <c r="F2" s="17" t="s">
        <v>84</v>
      </c>
      <c r="G2" s="17" t="s">
        <v>24</v>
      </c>
      <c r="H2" s="18" t="s">
        <v>25</v>
      </c>
      <c r="I2" s="19">
        <v>16.100000000000001</v>
      </c>
      <c r="J2" s="20">
        <v>0.3</v>
      </c>
      <c r="K2" s="21">
        <f>Twirling_Solo_Program289101112131415161718525354555657586061[[#This Row],[Judge 1
Tamara Beljak]]-J2</f>
        <v>15.8</v>
      </c>
      <c r="L2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Row],[Category]],Twirling_Solo_Program289101112131415161718525354555657586061[J1 TOTAL],"&gt;"&amp;Twirling_Solo_Program289101112131415161718525354555657586061[[#This Row],[J1 TOTAL]])+1</f>
        <v>2</v>
      </c>
      <c r="M2" s="19"/>
      <c r="N2" s="20"/>
      <c r="O2" s="21">
        <f>Twirling_Solo_Program289101112131415161718525354555657586061[[#This Row],[Judge 2
Tihomir Bendelja]]-Twirling_Solo_Program289101112131415161718525354555657586061[[#This Row],[J2 (-)]]</f>
        <v>0</v>
      </c>
      <c r="P2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Row],[Category]],Twirling_Solo_Program289101112131415161718525354555657586061[J2 TOTAL],"&gt;"&amp;Twirling_Solo_Program289101112131415161718525354555657586061[[#This Row],[J2 TOTAL]])+1</f>
        <v>1</v>
      </c>
      <c r="Q2" s="19">
        <v>17</v>
      </c>
      <c r="R2" s="20">
        <v>0.3</v>
      </c>
      <c r="S2" s="21">
        <f>Twirling_Solo_Program289101112131415161718525354555657586061[[#This Row],[Judge 3
Barbara Novina]]-R2</f>
        <v>16.7</v>
      </c>
      <c r="T2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Row],[Category]],Twirling_Solo_Program289101112131415161718525354555657586061[J3 TOTAL],"&gt;"&amp;Twirling_Solo_Program289101112131415161718525354555657586061[[#This Row],[J3 TOTAL]])+1</f>
        <v>1</v>
      </c>
      <c r="U2" s="19"/>
      <c r="V2" s="20"/>
      <c r="W2" s="21">
        <f>Twirling_Solo_Program289101112131415161718525354555657586061[[#This Row],[Judge 4
Bernard Barač]]-V2</f>
        <v>0</v>
      </c>
      <c r="X2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Row],[Category]],Twirling_Solo_Program289101112131415161718525354555657586061[J4 TOTAL],"&gt;"&amp;Twirling_Solo_Program289101112131415161718525354555657586061[[#This Row],[J4 TOTAL]])+1</f>
        <v>1</v>
      </c>
      <c r="Y2" s="23">
        <f>SUM(Twirling_Solo_Program289101112131415161718525354555657586061[[#This Row],[J1 TOTAL]]+Twirling_Solo_Program289101112131415161718525354555657586061[[#This Row],[J2 TOTAL]]+Twirling_Solo_Program289101112131415161718525354555657586061[[#This Row],[J3 TOTAL]]+Twirling_Solo_Program289101112131415161718525354555657586061[[#This Row],[J4 TOTAL]])</f>
        <v>32.5</v>
      </c>
      <c r="Z2" s="23"/>
      <c r="AA2" s="23"/>
      <c r="AB2" s="23">
        <f>SUM(Twirling_Solo_Program289101112131415161718525354555657586061[[#This Row],[Total]]-Twirling_Solo_Program289101112131415161718525354555657586061[[#This Row],[Low]]-Twirling_Solo_Program289101112131415161718525354555657586061[[#This Row],[High]])</f>
        <v>32.5</v>
      </c>
      <c r="AC2" s="23">
        <f>AVERAGE(I2,M2,Q2,U2)</f>
        <v>16.55</v>
      </c>
      <c r="AD2" s="24">
        <f>Twirling_Solo_Program289101112131415161718525354555657586061[[#This Row],[Final Total]]</f>
        <v>32.5</v>
      </c>
      <c r="AE2" s="25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Row],[Category]],Twirling_Solo_Program289101112131415161718525354555657586061[FINAL SCORE],"&gt;"&amp;Twirling_Solo_Program289101112131415161718525354555657586061[[#This Row],[FINAL SCORE]])+1</f>
        <v>1</v>
      </c>
      <c r="AF2" s="16" t="s">
        <v>35</v>
      </c>
    </row>
    <row r="3" spans="1:51" x14ac:dyDescent="0.3">
      <c r="A3" s="16">
        <v>38</v>
      </c>
      <c r="B3" s="17">
        <v>1</v>
      </c>
      <c r="C3" s="17" t="s">
        <v>93</v>
      </c>
      <c r="D3" s="17" t="s">
        <v>29</v>
      </c>
      <c r="E3" s="17" t="s">
        <v>94</v>
      </c>
      <c r="F3" s="17" t="s">
        <v>100</v>
      </c>
      <c r="G3" s="17" t="s">
        <v>79</v>
      </c>
      <c r="H3" s="18" t="s">
        <v>25</v>
      </c>
      <c r="I3" s="19">
        <v>16.5</v>
      </c>
      <c r="J3" s="20">
        <v>0.6</v>
      </c>
      <c r="K3" s="21">
        <f>Twirling_Solo_Program289101112131415161718525354555657586061[[#This Row],[Judge 1
Tamara Beljak]]-J3</f>
        <v>15.9</v>
      </c>
      <c r="L3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Row],[Category]],Twirling_Solo_Program289101112131415161718525354555657586061[J1 TOTAL],"&gt;"&amp;Twirling_Solo_Program289101112131415161718525354555657586061[[#This Row],[J1 TOTAL]])+1</f>
        <v>1</v>
      </c>
      <c r="M3" s="19"/>
      <c r="N3" s="20"/>
      <c r="O3" s="21">
        <f>Twirling_Solo_Program289101112131415161718525354555657586061[[#This Row],[Judge 2
Tihomir Bendelja]]-Twirling_Solo_Program289101112131415161718525354555657586061[[#This Row],[J2 (-)]]</f>
        <v>0</v>
      </c>
      <c r="P3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Row],[Category]],Twirling_Solo_Program289101112131415161718525354555657586061[J2 TOTAL],"&gt;"&amp;Twirling_Solo_Program289101112131415161718525354555657586061[[#This Row],[J2 TOTAL]])+1</f>
        <v>1</v>
      </c>
      <c r="Q3" s="19">
        <v>16.600000000000001</v>
      </c>
      <c r="R3" s="20">
        <v>0.7</v>
      </c>
      <c r="S3" s="21">
        <f>Twirling_Solo_Program289101112131415161718525354555657586061[[#This Row],[Judge 3
Barbara Novina]]-R3</f>
        <v>15.900000000000002</v>
      </c>
      <c r="T3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Row],[Category]],Twirling_Solo_Program289101112131415161718525354555657586061[J3 TOTAL],"&gt;"&amp;Twirling_Solo_Program289101112131415161718525354555657586061[[#This Row],[J3 TOTAL]])+1</f>
        <v>2</v>
      </c>
      <c r="U3" s="19"/>
      <c r="V3" s="20"/>
      <c r="W3" s="21">
        <f>Twirling_Solo_Program289101112131415161718525354555657586061[[#This Row],[Judge 4
Bernard Barač]]-V3</f>
        <v>0</v>
      </c>
      <c r="X3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Row],[Category]],Twirling_Solo_Program289101112131415161718525354555657586061[J4 TOTAL],"&gt;"&amp;Twirling_Solo_Program289101112131415161718525354555657586061[[#This Row],[J4 TOTAL]])+1</f>
        <v>1</v>
      </c>
      <c r="Y3" s="23">
        <f>SUM(Twirling_Solo_Program289101112131415161718525354555657586061[[#This Row],[J1 TOTAL]]+Twirling_Solo_Program289101112131415161718525354555657586061[[#This Row],[J2 TOTAL]]+Twirling_Solo_Program289101112131415161718525354555657586061[[#This Row],[J3 TOTAL]]+Twirling_Solo_Program289101112131415161718525354555657586061[[#This Row],[J4 TOTAL]])</f>
        <v>31.800000000000004</v>
      </c>
      <c r="Z3" s="23"/>
      <c r="AA3" s="23"/>
      <c r="AB3" s="23">
        <f>SUM(Twirling_Solo_Program289101112131415161718525354555657586061[[#This Row],[Total]]-Twirling_Solo_Program289101112131415161718525354555657586061[[#This Row],[Low]]-Twirling_Solo_Program289101112131415161718525354555657586061[[#This Row],[High]])</f>
        <v>31.800000000000004</v>
      </c>
      <c r="AC3" s="23">
        <f>AVERAGE(I3,M3,Q3,U3)</f>
        <v>16.55</v>
      </c>
      <c r="AD3" s="24">
        <f>Twirling_Solo_Program289101112131415161718525354555657586061[[#This Row],[Final Total]]</f>
        <v>31.800000000000004</v>
      </c>
      <c r="AE3" s="25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Row],[Category]],Twirling_Solo_Program289101112131415161718525354555657586061[FINAL SCORE],"&gt;"&amp;Twirling_Solo_Program289101112131415161718525354555657586061[[#This Row],[FINAL SCORE]])+1</f>
        <v>2</v>
      </c>
      <c r="AF3" s="16" t="s">
        <v>35</v>
      </c>
    </row>
    <row r="4" spans="1:51" x14ac:dyDescent="0.3">
      <c r="A4" s="16">
        <v>36</v>
      </c>
      <c r="B4" s="17">
        <v>1</v>
      </c>
      <c r="C4" s="17" t="s">
        <v>93</v>
      </c>
      <c r="D4" s="17" t="s">
        <v>29</v>
      </c>
      <c r="E4" s="17" t="s">
        <v>94</v>
      </c>
      <c r="F4" s="17" t="s">
        <v>99</v>
      </c>
      <c r="G4" s="17" t="s">
        <v>79</v>
      </c>
      <c r="H4" s="18" t="s">
        <v>25</v>
      </c>
      <c r="I4" s="19">
        <v>15.7</v>
      </c>
      <c r="J4" s="20">
        <v>0.2</v>
      </c>
      <c r="K4" s="21">
        <f>Twirling_Solo_Program289101112131415161718525354555657586061[[#This Row],[Judge 1
Tamara Beljak]]-J4</f>
        <v>15.5</v>
      </c>
      <c r="L4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Row],[Category]],Twirling_Solo_Program289101112131415161718525354555657586061[J1 TOTAL],"&gt;"&amp;Twirling_Solo_Program289101112131415161718525354555657586061[[#This Row],[J1 TOTAL]])+1</f>
        <v>3</v>
      </c>
      <c r="M4" s="19"/>
      <c r="N4" s="20"/>
      <c r="O4" s="21">
        <f>Twirling_Solo_Program289101112131415161718525354555657586061[[#This Row],[Judge 2
Tihomir Bendelja]]-Twirling_Solo_Program289101112131415161718525354555657586061[[#This Row],[J2 (-)]]</f>
        <v>0</v>
      </c>
      <c r="P4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Row],[Category]],Twirling_Solo_Program289101112131415161718525354555657586061[J2 TOTAL],"&gt;"&amp;Twirling_Solo_Program289101112131415161718525354555657586061[[#This Row],[J2 TOTAL]])+1</f>
        <v>1</v>
      </c>
      <c r="Q4" s="19">
        <v>15.7</v>
      </c>
      <c r="R4" s="20">
        <v>0.2</v>
      </c>
      <c r="S4" s="21">
        <f>Twirling_Solo_Program289101112131415161718525354555657586061[[#This Row],[Judge 3
Barbara Novina]]-R4</f>
        <v>15.5</v>
      </c>
      <c r="T4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Row],[Category]],Twirling_Solo_Program289101112131415161718525354555657586061[J3 TOTAL],"&gt;"&amp;Twirling_Solo_Program289101112131415161718525354555657586061[[#This Row],[J3 TOTAL]])+1</f>
        <v>3</v>
      </c>
      <c r="U4" s="19"/>
      <c r="V4" s="20"/>
      <c r="W4" s="21">
        <f>Twirling_Solo_Program289101112131415161718525354555657586061[[#This Row],[Judge 4
Bernard Barač]]-V4</f>
        <v>0</v>
      </c>
      <c r="X4" s="22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Row],[Category]],Twirling_Solo_Program289101112131415161718525354555657586061[J4 TOTAL],"&gt;"&amp;Twirling_Solo_Program289101112131415161718525354555657586061[[#This Row],[J4 TOTAL]])+1</f>
        <v>1</v>
      </c>
      <c r="Y4" s="23">
        <f>SUM(Twirling_Solo_Program289101112131415161718525354555657586061[[#This Row],[J1 TOTAL]]+Twirling_Solo_Program289101112131415161718525354555657586061[[#This Row],[J2 TOTAL]]+Twirling_Solo_Program289101112131415161718525354555657586061[[#This Row],[J3 TOTAL]]+Twirling_Solo_Program289101112131415161718525354555657586061[[#This Row],[J4 TOTAL]])</f>
        <v>31</v>
      </c>
      <c r="Z4" s="23"/>
      <c r="AA4" s="23"/>
      <c r="AB4" s="23">
        <f>SUM(Twirling_Solo_Program289101112131415161718525354555657586061[[#This Row],[Total]]-Twirling_Solo_Program289101112131415161718525354555657586061[[#This Row],[Low]]-Twirling_Solo_Program289101112131415161718525354555657586061[[#This Row],[High]])</f>
        <v>31</v>
      </c>
      <c r="AC4" s="23">
        <f>AVERAGE(I4,M4,Q4,U4)</f>
        <v>15.7</v>
      </c>
      <c r="AD4" s="24">
        <f>Twirling_Solo_Program289101112131415161718525354555657586061[[#This Row],[Final Total]]</f>
        <v>31</v>
      </c>
      <c r="AE4" s="25">
        <f>COUNTIFS(Twirling_Solo_Program289101112131415161718525354555657586061[Age
Division],Twirling_Solo_Program289101112131415161718525354555657586061[[#This Row],[Age
Division]],Twirling_Solo_Program289101112131415161718525354555657586061[Category],Twirling_Solo_Program289101112131415161718525354555657586061[[#This Row],[Category]],Twirling_Solo_Program289101112131415161718525354555657586061[FINAL SCORE],"&gt;"&amp;Twirling_Solo_Program289101112131415161718525354555657586061[[#This Row],[FINAL SCORE]])+1</f>
        <v>3</v>
      </c>
      <c r="AF4" s="16" t="s">
        <v>35</v>
      </c>
    </row>
  </sheetData>
  <sheetProtection algorithmName="SHA-512" hashValue="oTcRRxc89VEt1rYHlaA9E+5s+wXF8WruhuNLpEtq5f2GXlIKlnwh8iy5MhTGmt7poW3Jr6pRAZeVptLPJyImQA==" saltValue="eAtOhO8QMMHJWQBt/RLOs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2"/>
  <sheetViews>
    <sheetView zoomScale="80" zoomScaleNormal="80" workbookViewId="0">
      <pane ySplit="1" topLeftCell="A2" activePane="bottomLeft" state="frozen"/>
      <selection pane="bottomLeft" activeCell="AB2" sqref="Y2:AB2"/>
    </sheetView>
  </sheetViews>
  <sheetFormatPr defaultColWidth="9.140625" defaultRowHeight="16.5" x14ac:dyDescent="0.3"/>
  <cols>
    <col min="1" max="2" width="5.85546875" style="27" customWidth="1"/>
    <col min="3" max="3" width="13" style="27" customWidth="1"/>
    <col min="4" max="4" width="10.7109375" style="28" customWidth="1"/>
    <col min="5" max="5" width="12.28515625" style="28" customWidth="1"/>
    <col min="6" max="6" width="11" style="18" customWidth="1"/>
    <col min="7" max="7" width="39.85546875" style="18" customWidth="1"/>
    <col min="8" max="8" width="9" style="18" customWidth="1"/>
    <col min="9" max="12" width="9.140625" style="18" hidden="1" customWidth="1"/>
    <col min="13" max="16" width="9.140625" style="18" customWidth="1"/>
    <col min="17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33</v>
      </c>
      <c r="B2" s="17">
        <v>2</v>
      </c>
      <c r="C2" s="17" t="s">
        <v>93</v>
      </c>
      <c r="D2" s="17" t="s">
        <v>29</v>
      </c>
      <c r="E2" s="17" t="s">
        <v>95</v>
      </c>
      <c r="F2" s="17" t="s">
        <v>98</v>
      </c>
      <c r="G2" s="17" t="s">
        <v>79</v>
      </c>
      <c r="H2" s="18" t="s">
        <v>25</v>
      </c>
      <c r="I2" s="19"/>
      <c r="J2" s="20"/>
      <c r="K2" s="21">
        <f>Twirling_Solo_Program28910111213141516171852535455565758606162[[#This Row],[Judge 1
Tamara Beljak]]-J2</f>
        <v>0</v>
      </c>
      <c r="L2" s="22">
        <f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Row],[Category]],Twirling_Solo_Program28910111213141516171852535455565758606162[J1 TOTAL],"&gt;"&amp;Twirling_Solo_Program28910111213141516171852535455565758606162[[#This Row],[J1 TOTAL]])+1</f>
        <v>1</v>
      </c>
      <c r="M2" s="19">
        <v>33</v>
      </c>
      <c r="N2" s="20">
        <v>0.7</v>
      </c>
      <c r="O2" s="21">
        <f>Twirling_Solo_Program28910111213141516171852535455565758606162[[#This Row],[Judge 2
Tihomir Bendelja]]-Twirling_Solo_Program28910111213141516171852535455565758606162[[#This Row],[J2 (-)]]</f>
        <v>32.299999999999997</v>
      </c>
      <c r="P2" s="22">
        <f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Row],[Category]],Twirling_Solo_Program28910111213141516171852535455565758606162[J2 TOTAL],"&gt;"&amp;Twirling_Solo_Program28910111213141516171852535455565758606162[[#This Row],[J2 TOTAL]])+1</f>
        <v>1</v>
      </c>
      <c r="Q2" s="19"/>
      <c r="R2" s="20"/>
      <c r="S2" s="21">
        <f>Twirling_Solo_Program28910111213141516171852535455565758606162[[#This Row],[Judge 3
Barbara Novina]]-R2</f>
        <v>0</v>
      </c>
      <c r="T2" s="22">
        <f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Row],[Category]],Twirling_Solo_Program28910111213141516171852535455565758606162[J3 TOTAL],"&gt;"&amp;Twirling_Solo_Program28910111213141516171852535455565758606162[[#This Row],[J3 TOTAL]])+1</f>
        <v>1</v>
      </c>
      <c r="U2" s="19">
        <v>35.4</v>
      </c>
      <c r="V2" s="20">
        <v>0.6</v>
      </c>
      <c r="W2" s="21">
        <f>Twirling_Solo_Program28910111213141516171852535455565758606162[[#This Row],[Judge 4
Bernard Barač]]-V2</f>
        <v>34.799999999999997</v>
      </c>
      <c r="X2" s="22">
        <f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Row],[Category]],Twirling_Solo_Program28910111213141516171852535455565758606162[J4 TOTAL],"&gt;"&amp;Twirling_Solo_Program28910111213141516171852535455565758606162[[#This Row],[J4 TOTAL]])+1</f>
        <v>1</v>
      </c>
      <c r="Y2" s="23">
        <f>SUM(Twirling_Solo_Program28910111213141516171852535455565758606162[[#This Row],[J1 TOTAL]]+Twirling_Solo_Program28910111213141516171852535455565758606162[[#This Row],[J2 TOTAL]]+Twirling_Solo_Program28910111213141516171852535455565758606162[[#This Row],[J3 TOTAL]]+Twirling_Solo_Program28910111213141516171852535455565758606162[[#This Row],[J4 TOTAL]])</f>
        <v>67.099999999999994</v>
      </c>
      <c r="Z2" s="23"/>
      <c r="AA2" s="23"/>
      <c r="AB2" s="23">
        <f>SUM(Twirling_Solo_Program28910111213141516171852535455565758606162[[#This Row],[Total]]-Twirling_Solo_Program28910111213141516171852535455565758606162[[#This Row],[Low]]-Twirling_Solo_Program28910111213141516171852535455565758606162[[#This Row],[High]])</f>
        <v>67.099999999999994</v>
      </c>
      <c r="AC2" s="23">
        <f>AVERAGE(I2,M2,Q2,U2)</f>
        <v>34.200000000000003</v>
      </c>
      <c r="AD2" s="24">
        <f>Twirling_Solo_Program28910111213141516171852535455565758606162[[#This Row],[Final Total]]</f>
        <v>67.099999999999994</v>
      </c>
      <c r="AE2" s="25">
        <f>COUNTIFS(Twirling_Solo_Program28910111213141516171852535455565758606162[Age
Division],Twirling_Solo_Program28910111213141516171852535455565758606162[[#This Row],[Age
Division]],Twirling_Solo_Program28910111213141516171852535455565758606162[Category],Twirling_Solo_Program28910111213141516171852535455565758606162[[#This Row],[Category]],Twirling_Solo_Program28910111213141516171852535455565758606162[FINAL SCORE],"&gt;"&amp;Twirling_Solo_Program28910111213141516171852535455565758606162[[#This Row],[FINAL SCORE]])+1</f>
        <v>1</v>
      </c>
      <c r="AF2" s="16" t="s">
        <v>35</v>
      </c>
    </row>
  </sheetData>
  <sheetProtection algorithmName="SHA-512" hashValue="ymsiYDDu1CTrgovYRFB4EPzUfX6wdnV8MBu43G9cbiH6/kvwKj4Lu69rlr6OpYmxJ7UQtchmYbD57Gsa2760Rw==" saltValue="qDWFs72+yvFZJN/8nxvrN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Y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1.7109375" style="27" customWidth="1"/>
    <col min="4" max="4" width="11.7109375" style="28" customWidth="1"/>
    <col min="5" max="5" width="12.7109375" style="28" customWidth="1"/>
    <col min="6" max="6" width="19.28515625" style="18" customWidth="1"/>
    <col min="7" max="7" width="43.140625" style="18" customWidth="1"/>
    <col min="8" max="8" width="9.5703125" style="18" customWidth="1"/>
    <col min="9" max="12" width="9.140625" style="18" customWidth="1"/>
    <col min="13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52</v>
      </c>
      <c r="B2" s="17">
        <v>1</v>
      </c>
      <c r="C2" s="17" t="s">
        <v>101</v>
      </c>
      <c r="D2" s="17" t="s">
        <v>30</v>
      </c>
      <c r="E2" s="17" t="s">
        <v>127</v>
      </c>
      <c r="F2" s="17" t="s">
        <v>133</v>
      </c>
      <c r="G2" s="17" t="s">
        <v>52</v>
      </c>
      <c r="H2" s="18" t="s">
        <v>25</v>
      </c>
      <c r="I2" s="19">
        <v>18.399999999999999</v>
      </c>
      <c r="J2" s="20">
        <v>0</v>
      </c>
      <c r="K2" s="21">
        <f>Twirling_Solo_Program2891011121314151617185253545556575860616366[[#This Row],[Judge 1
Tamara Beljak]]-J2</f>
        <v>18.399999999999999</v>
      </c>
      <c r="L2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Row],[Category]],Twirling_Solo_Program2891011121314151617185253545556575860616366[J1 TOTAL],"&gt;"&amp;Twirling_Solo_Program2891011121314151617185253545556575860616366[[#This Row],[J1 TOTAL]])+1</f>
        <v>1</v>
      </c>
      <c r="M2" s="19"/>
      <c r="N2" s="20"/>
      <c r="O2" s="21">
        <f>Twirling_Solo_Program2891011121314151617185253545556575860616366[[#This Row],[Judge 2
Tihomir Bendelja]]-Twirling_Solo_Program2891011121314151617185253545556575860616366[[#This Row],[J2 (-)]]</f>
        <v>0</v>
      </c>
      <c r="P2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Row],[Category]],Twirling_Solo_Program2891011121314151617185253545556575860616366[J2 TOTAL],"&gt;"&amp;Twirling_Solo_Program2891011121314151617185253545556575860616366[[#This Row],[J2 TOTAL]])+1</f>
        <v>1</v>
      </c>
      <c r="Q2" s="19"/>
      <c r="R2" s="20"/>
      <c r="S2" s="21">
        <f>Twirling_Solo_Program2891011121314151617185253545556575860616366[[#This Row],[Judge 3
Barbara Novina]]-R2</f>
        <v>0</v>
      </c>
      <c r="T2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Row],[Category]],Twirling_Solo_Program2891011121314151617185253545556575860616366[J3 TOTAL],"&gt;"&amp;Twirling_Solo_Program2891011121314151617185253545556575860616366[[#This Row],[J3 TOTAL]])+1</f>
        <v>1</v>
      </c>
      <c r="U2" s="19">
        <v>18</v>
      </c>
      <c r="V2" s="20">
        <v>0</v>
      </c>
      <c r="W2" s="21">
        <f>Twirling_Solo_Program2891011121314151617185253545556575860616366[[#This Row],[Judge 4
Bernard Barač]]-V2</f>
        <v>18</v>
      </c>
      <c r="X2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Row],[Category]],Twirling_Solo_Program2891011121314151617185253545556575860616366[J4 TOTAL],"&gt;"&amp;Twirling_Solo_Program2891011121314151617185253545556575860616366[[#This Row],[J4 TOTAL]])+1</f>
        <v>1</v>
      </c>
      <c r="Y2" s="23">
        <f>SUM(Twirling_Solo_Program2891011121314151617185253545556575860616366[[#This Row],[J1 TOTAL]]+Twirling_Solo_Program2891011121314151617185253545556575860616366[[#This Row],[J2 TOTAL]]+Twirling_Solo_Program2891011121314151617185253545556575860616366[[#This Row],[J3 TOTAL]]+Twirling_Solo_Program2891011121314151617185253545556575860616366[[#This Row],[J4 TOTAL]])</f>
        <v>36.4</v>
      </c>
      <c r="Z2" s="23"/>
      <c r="AA2" s="23"/>
      <c r="AB2" s="23">
        <f>SUM(Twirling_Solo_Program2891011121314151617185253545556575860616366[[#This Row],[Total]]-Twirling_Solo_Program2891011121314151617185253545556575860616366[[#This Row],[Low]]-Twirling_Solo_Program2891011121314151617185253545556575860616366[[#This Row],[High]])</f>
        <v>36.4</v>
      </c>
      <c r="AC2" s="23">
        <f t="shared" ref="AC2:AC7" si="0">AVERAGE(I2,M2,Q2,U2)</f>
        <v>18.2</v>
      </c>
      <c r="AD2" s="24">
        <f>Twirling_Solo_Program2891011121314151617185253545556575860616366[[#This Row],[Final Total]]</f>
        <v>36.4</v>
      </c>
      <c r="AE2" s="25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Row],[Category]],Twirling_Solo_Program2891011121314151617185253545556575860616366[FINAL SCORE],"&gt;"&amp;Twirling_Solo_Program2891011121314151617185253545556575860616366[[#This Row],[FINAL SCORE]])+1</f>
        <v>1</v>
      </c>
      <c r="AF2" s="16" t="s">
        <v>35</v>
      </c>
    </row>
    <row r="3" spans="1:51" x14ac:dyDescent="0.3">
      <c r="A3" s="16">
        <v>48</v>
      </c>
      <c r="B3" s="17">
        <v>1</v>
      </c>
      <c r="C3" s="17" t="s">
        <v>101</v>
      </c>
      <c r="D3" s="17" t="s">
        <v>30</v>
      </c>
      <c r="E3" s="17" t="s">
        <v>127</v>
      </c>
      <c r="F3" s="17" t="s">
        <v>131</v>
      </c>
      <c r="G3" s="17" t="s">
        <v>32</v>
      </c>
      <c r="H3" s="18" t="s">
        <v>25</v>
      </c>
      <c r="I3" s="19">
        <v>18.8</v>
      </c>
      <c r="J3" s="20">
        <v>1</v>
      </c>
      <c r="K3" s="21">
        <f>Twirling_Solo_Program2891011121314151617185253545556575860616366[[#This Row],[Judge 1
Tamara Beljak]]-J3</f>
        <v>17.8</v>
      </c>
      <c r="L3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Row],[Category]],Twirling_Solo_Program2891011121314151617185253545556575860616366[J1 TOTAL],"&gt;"&amp;Twirling_Solo_Program2891011121314151617185253545556575860616366[[#This Row],[J1 TOTAL]])+1</f>
        <v>2</v>
      </c>
      <c r="M3" s="19"/>
      <c r="N3" s="20"/>
      <c r="O3" s="21">
        <f>Twirling_Solo_Program2891011121314151617185253545556575860616366[[#This Row],[Judge 2
Tihomir Bendelja]]-Twirling_Solo_Program2891011121314151617185253545556575860616366[[#This Row],[J2 (-)]]</f>
        <v>0</v>
      </c>
      <c r="P3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Row],[Category]],Twirling_Solo_Program2891011121314151617185253545556575860616366[J2 TOTAL],"&gt;"&amp;Twirling_Solo_Program2891011121314151617185253545556575860616366[[#This Row],[J2 TOTAL]])+1</f>
        <v>1</v>
      </c>
      <c r="Q3" s="19"/>
      <c r="R3" s="20"/>
      <c r="S3" s="21">
        <f>Twirling_Solo_Program2891011121314151617185253545556575860616366[[#This Row],[Judge 3
Barbara Novina]]-R3</f>
        <v>0</v>
      </c>
      <c r="T3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Row],[Category]],Twirling_Solo_Program2891011121314151617185253545556575860616366[J3 TOTAL],"&gt;"&amp;Twirling_Solo_Program2891011121314151617185253545556575860616366[[#This Row],[J3 TOTAL]])+1</f>
        <v>1</v>
      </c>
      <c r="U3" s="19">
        <v>18</v>
      </c>
      <c r="V3" s="20">
        <v>1</v>
      </c>
      <c r="W3" s="21">
        <f>Twirling_Solo_Program2891011121314151617185253545556575860616366[[#This Row],[Judge 4
Bernard Barač]]-V3</f>
        <v>17</v>
      </c>
      <c r="X3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Row],[Category]],Twirling_Solo_Program2891011121314151617185253545556575860616366[J4 TOTAL],"&gt;"&amp;Twirling_Solo_Program2891011121314151617185253545556575860616366[[#This Row],[J4 TOTAL]])+1</f>
        <v>2</v>
      </c>
      <c r="Y3" s="23">
        <f>SUM(Twirling_Solo_Program2891011121314151617185253545556575860616366[[#This Row],[J1 TOTAL]]+Twirling_Solo_Program2891011121314151617185253545556575860616366[[#This Row],[J2 TOTAL]]+Twirling_Solo_Program2891011121314151617185253545556575860616366[[#This Row],[J3 TOTAL]]+Twirling_Solo_Program2891011121314151617185253545556575860616366[[#This Row],[J4 TOTAL]])</f>
        <v>34.799999999999997</v>
      </c>
      <c r="Z3" s="23"/>
      <c r="AA3" s="23"/>
      <c r="AB3" s="23">
        <f>SUM(Twirling_Solo_Program2891011121314151617185253545556575860616366[[#This Row],[Total]]-Twirling_Solo_Program2891011121314151617185253545556575860616366[[#This Row],[Low]]-Twirling_Solo_Program2891011121314151617185253545556575860616366[[#This Row],[High]])</f>
        <v>34.799999999999997</v>
      </c>
      <c r="AC3" s="23">
        <f t="shared" si="0"/>
        <v>18.399999999999999</v>
      </c>
      <c r="AD3" s="24">
        <f>Twirling_Solo_Program2891011121314151617185253545556575860616366[[#This Row],[Final Total]]</f>
        <v>34.799999999999997</v>
      </c>
      <c r="AE3" s="25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Row],[Category]],Twirling_Solo_Program2891011121314151617185253545556575860616366[FINAL SCORE],"&gt;"&amp;Twirling_Solo_Program2891011121314151617185253545556575860616366[[#This Row],[FINAL SCORE]])+1</f>
        <v>2</v>
      </c>
      <c r="AF3" s="16" t="s">
        <v>35</v>
      </c>
    </row>
    <row r="4" spans="1:51" x14ac:dyDescent="0.3">
      <c r="A4" s="16">
        <v>50</v>
      </c>
      <c r="B4" s="17">
        <v>1</v>
      </c>
      <c r="C4" s="17" t="s">
        <v>101</v>
      </c>
      <c r="D4" s="17" t="s">
        <v>30</v>
      </c>
      <c r="E4" s="17" t="s">
        <v>127</v>
      </c>
      <c r="F4" s="17" t="s">
        <v>132</v>
      </c>
      <c r="G4" s="17" t="s">
        <v>106</v>
      </c>
      <c r="H4" s="18" t="s">
        <v>25</v>
      </c>
      <c r="I4" s="19">
        <v>15.9</v>
      </c>
      <c r="J4" s="20">
        <v>0.5</v>
      </c>
      <c r="K4" s="21">
        <f>Twirling_Solo_Program2891011121314151617185253545556575860616366[[#This Row],[Judge 1
Tamara Beljak]]-J4</f>
        <v>15.4</v>
      </c>
      <c r="L4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Row],[Category]],Twirling_Solo_Program2891011121314151617185253545556575860616366[J1 TOTAL],"&gt;"&amp;Twirling_Solo_Program2891011121314151617185253545556575860616366[[#This Row],[J1 TOTAL]])+1</f>
        <v>3</v>
      </c>
      <c r="M4" s="19"/>
      <c r="N4" s="20"/>
      <c r="O4" s="21">
        <f>Twirling_Solo_Program2891011121314151617185253545556575860616366[[#This Row],[Judge 2
Tihomir Bendelja]]-Twirling_Solo_Program2891011121314151617185253545556575860616366[[#This Row],[J2 (-)]]</f>
        <v>0</v>
      </c>
      <c r="P4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Row],[Category]],Twirling_Solo_Program2891011121314151617185253545556575860616366[J2 TOTAL],"&gt;"&amp;Twirling_Solo_Program2891011121314151617185253545556575860616366[[#This Row],[J2 TOTAL]])+1</f>
        <v>1</v>
      </c>
      <c r="Q4" s="19"/>
      <c r="R4" s="20"/>
      <c r="S4" s="21">
        <f>Twirling_Solo_Program2891011121314151617185253545556575860616366[[#This Row],[Judge 3
Barbara Novina]]-R4</f>
        <v>0</v>
      </c>
      <c r="T4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Row],[Category]],Twirling_Solo_Program2891011121314151617185253545556575860616366[J3 TOTAL],"&gt;"&amp;Twirling_Solo_Program2891011121314151617185253545556575860616366[[#This Row],[J3 TOTAL]])+1</f>
        <v>1</v>
      </c>
      <c r="U4" s="19">
        <v>15.8</v>
      </c>
      <c r="V4" s="20">
        <v>0.5</v>
      </c>
      <c r="W4" s="21">
        <f>Twirling_Solo_Program2891011121314151617185253545556575860616366[[#This Row],[Judge 4
Bernard Barač]]-V4</f>
        <v>15.3</v>
      </c>
      <c r="X4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Row],[Category]],Twirling_Solo_Program2891011121314151617185253545556575860616366[J4 TOTAL],"&gt;"&amp;Twirling_Solo_Program2891011121314151617185253545556575860616366[[#This Row],[J4 TOTAL]])+1</f>
        <v>3</v>
      </c>
      <c r="Y4" s="23">
        <f>SUM(Twirling_Solo_Program2891011121314151617185253545556575860616366[[#This Row],[J1 TOTAL]]+Twirling_Solo_Program2891011121314151617185253545556575860616366[[#This Row],[J2 TOTAL]]+Twirling_Solo_Program2891011121314151617185253545556575860616366[[#This Row],[J3 TOTAL]]+Twirling_Solo_Program2891011121314151617185253545556575860616366[[#This Row],[J4 TOTAL]])</f>
        <v>30.700000000000003</v>
      </c>
      <c r="Z4" s="23"/>
      <c r="AA4" s="23"/>
      <c r="AB4" s="23">
        <f>SUM(Twirling_Solo_Program2891011121314151617185253545556575860616366[[#This Row],[Total]]-Twirling_Solo_Program2891011121314151617185253545556575860616366[[#This Row],[Low]]-Twirling_Solo_Program2891011121314151617185253545556575860616366[[#This Row],[High]])</f>
        <v>30.700000000000003</v>
      </c>
      <c r="AC4" s="23">
        <f t="shared" si="0"/>
        <v>15.850000000000001</v>
      </c>
      <c r="AD4" s="24">
        <f>Twirling_Solo_Program2891011121314151617185253545556575860616366[[#This Row],[Final Total]]</f>
        <v>30.700000000000003</v>
      </c>
      <c r="AE4" s="25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Row],[Category]],Twirling_Solo_Program2891011121314151617185253545556575860616366[FINAL SCORE],"&gt;"&amp;Twirling_Solo_Program2891011121314151617185253545556575860616366[[#This Row],[FINAL SCORE]])+1</f>
        <v>3</v>
      </c>
      <c r="AF4" s="16" t="s">
        <v>35</v>
      </c>
    </row>
    <row r="5" spans="1:51" x14ac:dyDescent="0.3">
      <c r="A5" s="16">
        <v>44</v>
      </c>
      <c r="B5" s="17">
        <v>1</v>
      </c>
      <c r="C5" s="17" t="s">
        <v>101</v>
      </c>
      <c r="D5" s="17" t="s">
        <v>30</v>
      </c>
      <c r="E5" s="17" t="s">
        <v>127</v>
      </c>
      <c r="F5" s="17" t="s">
        <v>129</v>
      </c>
      <c r="G5" s="17" t="s">
        <v>106</v>
      </c>
      <c r="H5" s="18" t="s">
        <v>25</v>
      </c>
      <c r="I5" s="19">
        <v>12.2</v>
      </c>
      <c r="J5" s="20">
        <v>1.5</v>
      </c>
      <c r="K5" s="21">
        <f>Twirling_Solo_Program2891011121314151617185253545556575860616366[[#This Row],[Judge 1
Tamara Beljak]]-J5</f>
        <v>10.7</v>
      </c>
      <c r="L5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Row],[Category]],Twirling_Solo_Program2891011121314151617185253545556575860616366[J1 TOTAL],"&gt;"&amp;Twirling_Solo_Program2891011121314151617185253545556575860616366[[#This Row],[J1 TOTAL]])+1</f>
        <v>4</v>
      </c>
      <c r="M5" s="19"/>
      <c r="N5" s="20"/>
      <c r="O5" s="21">
        <f>Twirling_Solo_Program2891011121314151617185253545556575860616366[[#This Row],[Judge 2
Tihomir Bendelja]]-Twirling_Solo_Program2891011121314151617185253545556575860616366[[#This Row],[J2 (-)]]</f>
        <v>0</v>
      </c>
      <c r="P5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Row],[Category]],Twirling_Solo_Program2891011121314151617185253545556575860616366[J2 TOTAL],"&gt;"&amp;Twirling_Solo_Program2891011121314151617185253545556575860616366[[#This Row],[J2 TOTAL]])+1</f>
        <v>1</v>
      </c>
      <c r="Q5" s="19"/>
      <c r="R5" s="20"/>
      <c r="S5" s="21">
        <f>Twirling_Solo_Program2891011121314151617185253545556575860616366[[#This Row],[Judge 3
Barbara Novina]]-R5</f>
        <v>0</v>
      </c>
      <c r="T5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Row],[Category]],Twirling_Solo_Program2891011121314151617185253545556575860616366[J3 TOTAL],"&gt;"&amp;Twirling_Solo_Program2891011121314151617185253545556575860616366[[#This Row],[J3 TOTAL]])+1</f>
        <v>1</v>
      </c>
      <c r="U5" s="19">
        <v>12.4</v>
      </c>
      <c r="V5" s="20">
        <v>1.5</v>
      </c>
      <c r="W5" s="21">
        <f>Twirling_Solo_Program2891011121314151617185253545556575860616366[[#This Row],[Judge 4
Bernard Barač]]-V5</f>
        <v>10.9</v>
      </c>
      <c r="X5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Row],[Category]],Twirling_Solo_Program2891011121314151617185253545556575860616366[J4 TOTAL],"&gt;"&amp;Twirling_Solo_Program2891011121314151617185253545556575860616366[[#This Row],[J4 TOTAL]])+1</f>
        <v>4</v>
      </c>
      <c r="Y5" s="23">
        <f>SUM(Twirling_Solo_Program2891011121314151617185253545556575860616366[[#This Row],[J1 TOTAL]]+Twirling_Solo_Program2891011121314151617185253545556575860616366[[#This Row],[J2 TOTAL]]+Twirling_Solo_Program2891011121314151617185253545556575860616366[[#This Row],[J3 TOTAL]]+Twirling_Solo_Program2891011121314151617185253545556575860616366[[#This Row],[J4 TOTAL]])</f>
        <v>21.6</v>
      </c>
      <c r="Z5" s="23"/>
      <c r="AA5" s="23"/>
      <c r="AB5" s="23">
        <f>SUM(Twirling_Solo_Program2891011121314151617185253545556575860616366[[#This Row],[Total]]-Twirling_Solo_Program2891011121314151617185253545556575860616366[[#This Row],[Low]]-Twirling_Solo_Program2891011121314151617185253545556575860616366[[#This Row],[High]])</f>
        <v>21.6</v>
      </c>
      <c r="AC5" s="23">
        <f t="shared" si="0"/>
        <v>12.3</v>
      </c>
      <c r="AD5" s="24">
        <f>Twirling_Solo_Program2891011121314151617185253545556575860616366[[#This Row],[Final Total]]</f>
        <v>21.6</v>
      </c>
      <c r="AE5" s="25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Row],[Category]],Twirling_Solo_Program2891011121314151617185253545556575860616366[FINAL SCORE],"&gt;"&amp;Twirling_Solo_Program2891011121314151617185253545556575860616366[[#This Row],[FINAL SCORE]])+1</f>
        <v>4</v>
      </c>
      <c r="AF5" s="16" t="s">
        <v>35</v>
      </c>
    </row>
    <row r="6" spans="1:51" x14ac:dyDescent="0.3">
      <c r="A6" s="16">
        <v>46</v>
      </c>
      <c r="B6" s="17">
        <v>1</v>
      </c>
      <c r="C6" s="17" t="s">
        <v>101</v>
      </c>
      <c r="D6" s="17" t="s">
        <v>30</v>
      </c>
      <c r="E6" s="17" t="s">
        <v>127</v>
      </c>
      <c r="F6" s="17" t="s">
        <v>130</v>
      </c>
      <c r="G6" s="17" t="s">
        <v>73</v>
      </c>
      <c r="H6" s="18" t="s">
        <v>25</v>
      </c>
      <c r="I6" s="19">
        <v>9</v>
      </c>
      <c r="J6" s="20">
        <v>0.5</v>
      </c>
      <c r="K6" s="21">
        <f>Twirling_Solo_Program2891011121314151617185253545556575860616366[[#This Row],[Judge 1
Tamara Beljak]]-J6</f>
        <v>8.5</v>
      </c>
      <c r="L6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Row],[Category]],Twirling_Solo_Program2891011121314151617185253545556575860616366[J1 TOTAL],"&gt;"&amp;Twirling_Solo_Program2891011121314151617185253545556575860616366[[#This Row],[J1 TOTAL]])+1</f>
        <v>5</v>
      </c>
      <c r="M6" s="19"/>
      <c r="N6" s="20"/>
      <c r="O6" s="21">
        <f>Twirling_Solo_Program2891011121314151617185253545556575860616366[[#This Row],[Judge 2
Tihomir Bendelja]]-Twirling_Solo_Program2891011121314151617185253545556575860616366[[#This Row],[J2 (-)]]</f>
        <v>0</v>
      </c>
      <c r="P6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Row],[Category]],Twirling_Solo_Program2891011121314151617185253545556575860616366[J2 TOTAL],"&gt;"&amp;Twirling_Solo_Program2891011121314151617185253545556575860616366[[#This Row],[J2 TOTAL]])+1</f>
        <v>1</v>
      </c>
      <c r="Q6" s="19"/>
      <c r="R6" s="20"/>
      <c r="S6" s="21">
        <f>Twirling_Solo_Program2891011121314151617185253545556575860616366[[#This Row],[Judge 3
Barbara Novina]]-R6</f>
        <v>0</v>
      </c>
      <c r="T6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Row],[Category]],Twirling_Solo_Program2891011121314151617185253545556575860616366[J3 TOTAL],"&gt;"&amp;Twirling_Solo_Program2891011121314151617185253545556575860616366[[#This Row],[J3 TOTAL]])+1</f>
        <v>1</v>
      </c>
      <c r="U6" s="19">
        <v>9.9</v>
      </c>
      <c r="V6" s="20">
        <v>0.5</v>
      </c>
      <c r="W6" s="21">
        <f>Twirling_Solo_Program2891011121314151617185253545556575860616366[[#This Row],[Judge 4
Bernard Barač]]-V6</f>
        <v>9.4</v>
      </c>
      <c r="X6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Row],[Category]],Twirling_Solo_Program2891011121314151617185253545556575860616366[J4 TOTAL],"&gt;"&amp;Twirling_Solo_Program2891011121314151617185253545556575860616366[[#This Row],[J4 TOTAL]])+1</f>
        <v>5</v>
      </c>
      <c r="Y6" s="23">
        <f>SUM(Twirling_Solo_Program2891011121314151617185253545556575860616366[[#This Row],[J1 TOTAL]]+Twirling_Solo_Program2891011121314151617185253545556575860616366[[#This Row],[J2 TOTAL]]+Twirling_Solo_Program2891011121314151617185253545556575860616366[[#This Row],[J3 TOTAL]]+Twirling_Solo_Program2891011121314151617185253545556575860616366[[#This Row],[J4 TOTAL]])</f>
        <v>17.899999999999999</v>
      </c>
      <c r="Z6" s="23"/>
      <c r="AA6" s="23"/>
      <c r="AB6" s="23">
        <f>SUM(Twirling_Solo_Program2891011121314151617185253545556575860616366[[#This Row],[Total]]-Twirling_Solo_Program2891011121314151617185253545556575860616366[[#This Row],[Low]]-Twirling_Solo_Program2891011121314151617185253545556575860616366[[#This Row],[High]])</f>
        <v>17.899999999999999</v>
      </c>
      <c r="AC6" s="23">
        <f t="shared" si="0"/>
        <v>9.4499999999999993</v>
      </c>
      <c r="AD6" s="24">
        <f>Twirling_Solo_Program2891011121314151617185253545556575860616366[[#This Row],[Final Total]]</f>
        <v>17.899999999999999</v>
      </c>
      <c r="AE6" s="25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Row],[Category]],Twirling_Solo_Program2891011121314151617185253545556575860616366[FINAL SCORE],"&gt;"&amp;Twirling_Solo_Program2891011121314151617185253545556575860616366[[#This Row],[FINAL SCORE]])+1</f>
        <v>5</v>
      </c>
      <c r="AF6" s="16" t="s">
        <v>35</v>
      </c>
    </row>
    <row r="7" spans="1:51" x14ac:dyDescent="0.3">
      <c r="A7" s="16">
        <v>42</v>
      </c>
      <c r="B7" s="17">
        <v>1</v>
      </c>
      <c r="C7" s="17" t="s">
        <v>101</v>
      </c>
      <c r="D7" s="17" t="s">
        <v>30</v>
      </c>
      <c r="E7" s="17" t="s">
        <v>127</v>
      </c>
      <c r="F7" s="17" t="s">
        <v>128</v>
      </c>
      <c r="G7" s="17" t="s">
        <v>32</v>
      </c>
      <c r="H7" s="18" t="s">
        <v>25</v>
      </c>
      <c r="I7" s="19">
        <v>9.1999999999999993</v>
      </c>
      <c r="J7" s="20">
        <v>1</v>
      </c>
      <c r="K7" s="21">
        <f>Twirling_Solo_Program2891011121314151617185253545556575860616366[[#This Row],[Judge 1
Tamara Beljak]]-J7</f>
        <v>8.1999999999999993</v>
      </c>
      <c r="L7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Row],[Category]],Twirling_Solo_Program2891011121314151617185253545556575860616366[J1 TOTAL],"&gt;"&amp;Twirling_Solo_Program2891011121314151617185253545556575860616366[[#This Row],[J1 TOTAL]])+1</f>
        <v>6</v>
      </c>
      <c r="M7" s="19"/>
      <c r="N7" s="20"/>
      <c r="O7" s="21">
        <f>Twirling_Solo_Program2891011121314151617185253545556575860616366[[#This Row],[Judge 2
Tihomir Bendelja]]-Twirling_Solo_Program2891011121314151617185253545556575860616366[[#This Row],[J2 (-)]]</f>
        <v>0</v>
      </c>
      <c r="P7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Row],[Category]],Twirling_Solo_Program2891011121314151617185253545556575860616366[J2 TOTAL],"&gt;"&amp;Twirling_Solo_Program2891011121314151617185253545556575860616366[[#This Row],[J2 TOTAL]])+1</f>
        <v>1</v>
      </c>
      <c r="Q7" s="19"/>
      <c r="R7" s="20"/>
      <c r="S7" s="21">
        <f>Twirling_Solo_Program2891011121314151617185253545556575860616366[[#This Row],[Judge 3
Barbara Novina]]-R7</f>
        <v>0</v>
      </c>
      <c r="T7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Row],[Category]],Twirling_Solo_Program2891011121314151617185253545556575860616366[J3 TOTAL],"&gt;"&amp;Twirling_Solo_Program2891011121314151617185253545556575860616366[[#This Row],[J3 TOTAL]])+1</f>
        <v>1</v>
      </c>
      <c r="U7" s="19">
        <v>10.1</v>
      </c>
      <c r="V7" s="20">
        <v>1</v>
      </c>
      <c r="W7" s="21">
        <f>Twirling_Solo_Program2891011121314151617185253545556575860616366[[#This Row],[Judge 4
Bernard Barač]]-V7</f>
        <v>9.1</v>
      </c>
      <c r="X7" s="22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Row],[Category]],Twirling_Solo_Program2891011121314151617185253545556575860616366[J4 TOTAL],"&gt;"&amp;Twirling_Solo_Program2891011121314151617185253545556575860616366[[#This Row],[J4 TOTAL]])+1</f>
        <v>6</v>
      </c>
      <c r="Y7" s="23">
        <f>SUM(Twirling_Solo_Program2891011121314151617185253545556575860616366[[#This Row],[J1 TOTAL]]+Twirling_Solo_Program2891011121314151617185253545556575860616366[[#This Row],[J2 TOTAL]]+Twirling_Solo_Program2891011121314151617185253545556575860616366[[#This Row],[J3 TOTAL]]+Twirling_Solo_Program2891011121314151617185253545556575860616366[[#This Row],[J4 TOTAL]])</f>
        <v>17.299999999999997</v>
      </c>
      <c r="Z7" s="23"/>
      <c r="AA7" s="23"/>
      <c r="AB7" s="23">
        <f>SUM(Twirling_Solo_Program2891011121314151617185253545556575860616366[[#This Row],[Total]]-Twirling_Solo_Program2891011121314151617185253545556575860616366[[#This Row],[Low]]-Twirling_Solo_Program2891011121314151617185253545556575860616366[[#This Row],[High]])</f>
        <v>17.299999999999997</v>
      </c>
      <c r="AC7" s="23">
        <f t="shared" si="0"/>
        <v>9.6499999999999986</v>
      </c>
      <c r="AD7" s="24">
        <f>Twirling_Solo_Program2891011121314151617185253545556575860616366[[#This Row],[Final Total]]</f>
        <v>17.299999999999997</v>
      </c>
      <c r="AE7" s="25">
        <f>COUNTIFS(Twirling_Solo_Program2891011121314151617185253545556575860616366[Age
Division],Twirling_Solo_Program2891011121314151617185253545556575860616366[[#This Row],[Age
Division]],Twirling_Solo_Program2891011121314151617185253545556575860616366[Category],Twirling_Solo_Program2891011121314151617185253545556575860616366[[#This Row],[Category]],Twirling_Solo_Program2891011121314151617185253545556575860616366[FINAL SCORE],"&gt;"&amp;Twirling_Solo_Program2891011121314151617185253545556575860616366[[#This Row],[FINAL SCORE]])+1</f>
        <v>6</v>
      </c>
      <c r="AF7" s="16" t="s">
        <v>35</v>
      </c>
    </row>
  </sheetData>
  <sheetProtection algorithmName="SHA-512" hashValue="dezo+YgTSlZ1TD5nSutdkwMo6l3FVU7VcU9RII4SnaGdxAkpTDvMUDkaFaBA5hYNMr2BwlMnIH4AEZ1DJSXXPw==" saltValue="n5JPrr+TishegEKKtTgMq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Y20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1.85546875" style="27" customWidth="1"/>
    <col min="4" max="4" width="8.42578125" style="28" customWidth="1"/>
    <col min="5" max="5" width="10.7109375" style="28" customWidth="1"/>
    <col min="6" max="6" width="16.28515625" style="18" customWidth="1"/>
    <col min="7" max="7" width="47.85546875" style="18" customWidth="1"/>
    <col min="8" max="8" width="11.28515625" style="18" customWidth="1"/>
    <col min="9" max="16" width="9.140625" style="18" customWidth="1"/>
    <col min="17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6.710937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86</v>
      </c>
      <c r="B2" s="17">
        <v>1</v>
      </c>
      <c r="C2" s="17" t="s">
        <v>101</v>
      </c>
      <c r="D2" s="17" t="s">
        <v>23</v>
      </c>
      <c r="E2" s="17" t="s">
        <v>60</v>
      </c>
      <c r="F2" s="17" t="s">
        <v>103</v>
      </c>
      <c r="G2" s="17" t="s">
        <v>56</v>
      </c>
      <c r="H2" s="18" t="s">
        <v>25</v>
      </c>
      <c r="I2" s="19">
        <v>29.1</v>
      </c>
      <c r="J2" s="20">
        <v>0.5</v>
      </c>
      <c r="K2" s="21">
        <f>Twirling_Solo_Program28910111213141516171852535455565758606163[[#This Row],[Judge 1
Tamara Beljak]]-J2</f>
        <v>28.6</v>
      </c>
      <c r="L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</v>
      </c>
      <c r="M2" s="19">
        <v>26.4</v>
      </c>
      <c r="N2" s="20">
        <v>0.5</v>
      </c>
      <c r="O2" s="21">
        <f>Twirling_Solo_Program28910111213141516171852535455565758606163[[#This Row],[Judge 2
Tihomir Bendelja]]-Twirling_Solo_Program28910111213141516171852535455565758606163[[#This Row],[J2 (-)]]</f>
        <v>25.9</v>
      </c>
      <c r="P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</v>
      </c>
      <c r="Q2" s="19"/>
      <c r="R2" s="20"/>
      <c r="S2" s="21">
        <f>Twirling_Solo_Program28910111213141516171852535455565758606163[[#This Row],[Judge 3
Barbara Novina]]-R2</f>
        <v>0</v>
      </c>
      <c r="T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2" s="19"/>
      <c r="V2" s="20"/>
      <c r="W2" s="21">
        <f>Twirling_Solo_Program28910111213141516171852535455565758606163[[#This Row],[Judge 4
Bernard Barač]]-V2</f>
        <v>0</v>
      </c>
      <c r="X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2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54.5</v>
      </c>
      <c r="Z2" s="23"/>
      <c r="AA2" s="23"/>
      <c r="AB2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54.5</v>
      </c>
      <c r="AC2" s="23">
        <f t="shared" ref="AC2:AC20" si="0">AVERAGE(I2,M2,Q2,U2)</f>
        <v>27.75</v>
      </c>
      <c r="AD2" s="24">
        <f>Twirling_Solo_Program28910111213141516171852535455565758606163[[#This Row],[Final Total]]</f>
        <v>54.5</v>
      </c>
      <c r="AE2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</v>
      </c>
      <c r="AF2" s="16" t="s">
        <v>35</v>
      </c>
    </row>
    <row r="3" spans="1:51" x14ac:dyDescent="0.3">
      <c r="A3" s="16">
        <v>98</v>
      </c>
      <c r="B3" s="17">
        <v>1</v>
      </c>
      <c r="C3" s="17" t="s">
        <v>101</v>
      </c>
      <c r="D3" s="17" t="s">
        <v>23</v>
      </c>
      <c r="E3" s="17" t="s">
        <v>60</v>
      </c>
      <c r="F3" s="17" t="s">
        <v>55</v>
      </c>
      <c r="G3" s="17" t="s">
        <v>56</v>
      </c>
      <c r="H3" s="18" t="s">
        <v>25</v>
      </c>
      <c r="I3" s="19">
        <v>27.1</v>
      </c>
      <c r="J3" s="20">
        <v>1</v>
      </c>
      <c r="K3" s="21">
        <f>Twirling_Solo_Program28910111213141516171852535455565758606163[[#This Row],[Judge 1
Tamara Beljak]]-J3</f>
        <v>26.1</v>
      </c>
      <c r="L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2</v>
      </c>
      <c r="M3" s="19">
        <v>26.4</v>
      </c>
      <c r="N3" s="20">
        <v>1</v>
      </c>
      <c r="O3" s="21">
        <f>Twirling_Solo_Program28910111213141516171852535455565758606163[[#This Row],[Judge 2
Tihomir Bendelja]]-Twirling_Solo_Program28910111213141516171852535455565758606163[[#This Row],[J2 (-)]]</f>
        <v>25.4</v>
      </c>
      <c r="P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2</v>
      </c>
      <c r="Q3" s="19"/>
      <c r="R3" s="20"/>
      <c r="S3" s="21">
        <f>Twirling_Solo_Program28910111213141516171852535455565758606163[[#This Row],[Judge 3
Barbara Novina]]-R3</f>
        <v>0</v>
      </c>
      <c r="T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3" s="19"/>
      <c r="V3" s="20"/>
      <c r="W3" s="21">
        <f>Twirling_Solo_Program28910111213141516171852535455565758606163[[#This Row],[Judge 4
Bernard Barač]]-V3</f>
        <v>0</v>
      </c>
      <c r="X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3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51.5</v>
      </c>
      <c r="Z3" s="23"/>
      <c r="AA3" s="23"/>
      <c r="AB3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51.5</v>
      </c>
      <c r="AC3" s="23">
        <f t="shared" si="0"/>
        <v>26.75</v>
      </c>
      <c r="AD3" s="24">
        <f>Twirling_Solo_Program28910111213141516171852535455565758606163[[#This Row],[Final Total]]</f>
        <v>51.5</v>
      </c>
      <c r="AE3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2</v>
      </c>
      <c r="AF3" s="16" t="s">
        <v>35</v>
      </c>
    </row>
    <row r="4" spans="1:51" x14ac:dyDescent="0.3">
      <c r="A4" s="16">
        <v>96</v>
      </c>
      <c r="B4" s="17">
        <v>1</v>
      </c>
      <c r="C4" s="17" t="s">
        <v>101</v>
      </c>
      <c r="D4" s="17" t="s">
        <v>23</v>
      </c>
      <c r="E4" s="17" t="s">
        <v>60</v>
      </c>
      <c r="F4" s="17" t="s">
        <v>65</v>
      </c>
      <c r="G4" s="17" t="s">
        <v>58</v>
      </c>
      <c r="H4" s="18" t="s">
        <v>25</v>
      </c>
      <c r="I4" s="19">
        <v>22</v>
      </c>
      <c r="J4" s="20">
        <v>0.5</v>
      </c>
      <c r="K4" s="21">
        <f>Twirling_Solo_Program28910111213141516171852535455565758606163[[#This Row],[Judge 1
Tamara Beljak]]-J4</f>
        <v>21.5</v>
      </c>
      <c r="L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3</v>
      </c>
      <c r="M4" s="19">
        <v>20.100000000000001</v>
      </c>
      <c r="N4" s="20">
        <v>0.5</v>
      </c>
      <c r="O4" s="21">
        <f>Twirling_Solo_Program28910111213141516171852535455565758606163[[#This Row],[Judge 2
Tihomir Bendelja]]-Twirling_Solo_Program28910111213141516171852535455565758606163[[#This Row],[J2 (-)]]</f>
        <v>19.600000000000001</v>
      </c>
      <c r="P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3</v>
      </c>
      <c r="Q4" s="19"/>
      <c r="R4" s="20"/>
      <c r="S4" s="21">
        <f>Twirling_Solo_Program28910111213141516171852535455565758606163[[#This Row],[Judge 3
Barbara Novina]]-R4</f>
        <v>0</v>
      </c>
      <c r="T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4" s="19"/>
      <c r="V4" s="20"/>
      <c r="W4" s="21">
        <f>Twirling_Solo_Program28910111213141516171852535455565758606163[[#This Row],[Judge 4
Bernard Barač]]-V4</f>
        <v>0</v>
      </c>
      <c r="X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4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41.1</v>
      </c>
      <c r="Z4" s="23"/>
      <c r="AA4" s="23"/>
      <c r="AB4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41.1</v>
      </c>
      <c r="AC4" s="23">
        <f t="shared" si="0"/>
        <v>21.05</v>
      </c>
      <c r="AD4" s="24">
        <f>Twirling_Solo_Program28910111213141516171852535455565758606163[[#This Row],[Final Total]]</f>
        <v>41.1</v>
      </c>
      <c r="AE4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3</v>
      </c>
      <c r="AF4" s="16" t="s">
        <v>35</v>
      </c>
    </row>
    <row r="5" spans="1:51" x14ac:dyDescent="0.3">
      <c r="A5" s="16">
        <v>110</v>
      </c>
      <c r="B5" s="17">
        <v>1</v>
      </c>
      <c r="C5" s="17" t="s">
        <v>101</v>
      </c>
      <c r="D5" s="17" t="s">
        <v>23</v>
      </c>
      <c r="E5" s="17" t="s">
        <v>60</v>
      </c>
      <c r="F5" s="17" t="s">
        <v>36</v>
      </c>
      <c r="G5" s="17" t="s">
        <v>24</v>
      </c>
      <c r="H5" s="18" t="s">
        <v>25</v>
      </c>
      <c r="I5" s="19">
        <v>21.9</v>
      </c>
      <c r="J5" s="20">
        <v>0.5</v>
      </c>
      <c r="K5" s="21">
        <f>Twirling_Solo_Program28910111213141516171852535455565758606163[[#This Row],[Judge 1
Tamara Beljak]]-J5</f>
        <v>21.4</v>
      </c>
      <c r="L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4</v>
      </c>
      <c r="M5" s="19">
        <v>20</v>
      </c>
      <c r="N5" s="20">
        <v>0.5</v>
      </c>
      <c r="O5" s="21">
        <f>Twirling_Solo_Program28910111213141516171852535455565758606163[[#This Row],[Judge 2
Tihomir Bendelja]]-Twirling_Solo_Program28910111213141516171852535455565758606163[[#This Row],[J2 (-)]]</f>
        <v>19.5</v>
      </c>
      <c r="P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4</v>
      </c>
      <c r="Q5" s="19"/>
      <c r="R5" s="20"/>
      <c r="S5" s="21">
        <f>Twirling_Solo_Program28910111213141516171852535455565758606163[[#This Row],[Judge 3
Barbara Novina]]-R5</f>
        <v>0</v>
      </c>
      <c r="T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5" s="19"/>
      <c r="V5" s="20"/>
      <c r="W5" s="21">
        <f>Twirling_Solo_Program28910111213141516171852535455565758606163[[#This Row],[Judge 4
Bernard Barač]]-V5</f>
        <v>0</v>
      </c>
      <c r="X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5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40.9</v>
      </c>
      <c r="Z5" s="23"/>
      <c r="AA5" s="23"/>
      <c r="AB5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40.9</v>
      </c>
      <c r="AC5" s="23">
        <f t="shared" si="0"/>
        <v>20.95</v>
      </c>
      <c r="AD5" s="24">
        <f>Twirling_Solo_Program28910111213141516171852535455565758606163[[#This Row],[Final Total]]</f>
        <v>40.9</v>
      </c>
      <c r="AE5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4</v>
      </c>
      <c r="AF5" s="16" t="s">
        <v>35</v>
      </c>
    </row>
    <row r="6" spans="1:51" x14ac:dyDescent="0.3">
      <c r="A6" s="16">
        <v>116</v>
      </c>
      <c r="B6" s="17">
        <v>1</v>
      </c>
      <c r="C6" s="17" t="s">
        <v>101</v>
      </c>
      <c r="D6" s="17" t="s">
        <v>23</v>
      </c>
      <c r="E6" s="17" t="s">
        <v>60</v>
      </c>
      <c r="F6" s="17" t="s">
        <v>62</v>
      </c>
      <c r="G6" s="17" t="s">
        <v>58</v>
      </c>
      <c r="H6" s="18" t="s">
        <v>25</v>
      </c>
      <c r="I6" s="19">
        <v>21.9</v>
      </c>
      <c r="J6" s="20">
        <v>0.5</v>
      </c>
      <c r="K6" s="21">
        <f>Twirling_Solo_Program28910111213141516171852535455565758606163[[#This Row],[Judge 1
Tamara Beljak]]-J6</f>
        <v>21.4</v>
      </c>
      <c r="L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4</v>
      </c>
      <c r="M6" s="19">
        <v>20</v>
      </c>
      <c r="N6" s="20">
        <v>0.5</v>
      </c>
      <c r="O6" s="21">
        <f>Twirling_Solo_Program28910111213141516171852535455565758606163[[#This Row],[Judge 2
Tihomir Bendelja]]-Twirling_Solo_Program28910111213141516171852535455565758606163[[#This Row],[J2 (-)]]</f>
        <v>19.5</v>
      </c>
      <c r="P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4</v>
      </c>
      <c r="Q6" s="19"/>
      <c r="R6" s="20"/>
      <c r="S6" s="21">
        <f>Twirling_Solo_Program28910111213141516171852535455565758606163[[#This Row],[Judge 3
Barbara Novina]]-R6</f>
        <v>0</v>
      </c>
      <c r="T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6" s="19"/>
      <c r="V6" s="20"/>
      <c r="W6" s="21">
        <f>Twirling_Solo_Program28910111213141516171852535455565758606163[[#This Row],[Judge 4
Bernard Barač]]-V6</f>
        <v>0</v>
      </c>
      <c r="X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6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40.9</v>
      </c>
      <c r="Z6" s="23"/>
      <c r="AA6" s="23"/>
      <c r="AB6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40.9</v>
      </c>
      <c r="AC6" s="23">
        <f t="shared" si="0"/>
        <v>20.95</v>
      </c>
      <c r="AD6" s="24">
        <f>Twirling_Solo_Program28910111213141516171852535455565758606163[[#This Row],[Final Total]]</f>
        <v>40.9</v>
      </c>
      <c r="AE6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4</v>
      </c>
      <c r="AF6" s="16" t="s">
        <v>35</v>
      </c>
    </row>
    <row r="7" spans="1:51" x14ac:dyDescent="0.3">
      <c r="A7" s="16">
        <v>106</v>
      </c>
      <c r="B7" s="17">
        <v>1</v>
      </c>
      <c r="C7" s="17" t="s">
        <v>101</v>
      </c>
      <c r="D7" s="17" t="s">
        <v>23</v>
      </c>
      <c r="E7" s="17" t="s">
        <v>60</v>
      </c>
      <c r="F7" s="17" t="s">
        <v>111</v>
      </c>
      <c r="G7" s="17" t="s">
        <v>56</v>
      </c>
      <c r="H7" s="18" t="s">
        <v>25</v>
      </c>
      <c r="I7" s="19">
        <v>21</v>
      </c>
      <c r="J7" s="20">
        <v>0.5</v>
      </c>
      <c r="K7" s="21">
        <f>Twirling_Solo_Program28910111213141516171852535455565758606163[[#This Row],[Judge 1
Tamara Beljak]]-J7</f>
        <v>20.5</v>
      </c>
      <c r="L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6</v>
      </c>
      <c r="M7" s="19">
        <v>19.8</v>
      </c>
      <c r="N7" s="20">
        <v>0.5</v>
      </c>
      <c r="O7" s="21">
        <f>Twirling_Solo_Program28910111213141516171852535455565758606163[[#This Row],[Judge 2
Tihomir Bendelja]]-Twirling_Solo_Program28910111213141516171852535455565758606163[[#This Row],[J2 (-)]]</f>
        <v>19.3</v>
      </c>
      <c r="P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6</v>
      </c>
      <c r="Q7" s="19"/>
      <c r="R7" s="20"/>
      <c r="S7" s="21">
        <f>Twirling_Solo_Program28910111213141516171852535455565758606163[[#This Row],[Judge 3
Barbara Novina]]-R7</f>
        <v>0</v>
      </c>
      <c r="T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7" s="19"/>
      <c r="V7" s="20"/>
      <c r="W7" s="21">
        <f>Twirling_Solo_Program28910111213141516171852535455565758606163[[#This Row],[Judge 4
Bernard Barač]]-V7</f>
        <v>0</v>
      </c>
      <c r="X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7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39.799999999999997</v>
      </c>
      <c r="Z7" s="23"/>
      <c r="AA7" s="23"/>
      <c r="AB7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39.799999999999997</v>
      </c>
      <c r="AC7" s="23">
        <f t="shared" si="0"/>
        <v>20.399999999999999</v>
      </c>
      <c r="AD7" s="24">
        <f>Twirling_Solo_Program28910111213141516171852535455565758606163[[#This Row],[Final Total]]</f>
        <v>39.799999999999997</v>
      </c>
      <c r="AE7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6</v>
      </c>
      <c r="AF7" s="16" t="s">
        <v>35</v>
      </c>
    </row>
    <row r="8" spans="1:51" x14ac:dyDescent="0.3">
      <c r="A8" s="16">
        <v>92</v>
      </c>
      <c r="B8" s="17">
        <v>1</v>
      </c>
      <c r="C8" s="17" t="s">
        <v>101</v>
      </c>
      <c r="D8" s="17" t="s">
        <v>23</v>
      </c>
      <c r="E8" s="17" t="s">
        <v>60</v>
      </c>
      <c r="F8" s="17" t="s">
        <v>105</v>
      </c>
      <c r="G8" s="17" t="s">
        <v>106</v>
      </c>
      <c r="H8" s="18" t="s">
        <v>25</v>
      </c>
      <c r="I8" s="19">
        <v>20.6</v>
      </c>
      <c r="J8" s="20">
        <v>0.5</v>
      </c>
      <c r="K8" s="21">
        <f>Twirling_Solo_Program28910111213141516171852535455565758606163[[#This Row],[Judge 1
Tamara Beljak]]-J8</f>
        <v>20.100000000000001</v>
      </c>
      <c r="L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7</v>
      </c>
      <c r="M8" s="19">
        <v>19.399999999999999</v>
      </c>
      <c r="N8" s="20">
        <v>0.5</v>
      </c>
      <c r="O8" s="21">
        <f>Twirling_Solo_Program28910111213141516171852535455565758606163[[#This Row],[Judge 2
Tihomir Bendelja]]-Twirling_Solo_Program28910111213141516171852535455565758606163[[#This Row],[J2 (-)]]</f>
        <v>18.899999999999999</v>
      </c>
      <c r="P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7</v>
      </c>
      <c r="Q8" s="19"/>
      <c r="R8" s="20"/>
      <c r="S8" s="21">
        <f>Twirling_Solo_Program28910111213141516171852535455565758606163[[#This Row],[Judge 3
Barbara Novina]]-R8</f>
        <v>0</v>
      </c>
      <c r="T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8" s="19"/>
      <c r="V8" s="20"/>
      <c r="W8" s="21">
        <f>Twirling_Solo_Program28910111213141516171852535455565758606163[[#This Row],[Judge 4
Bernard Barač]]-V8</f>
        <v>0</v>
      </c>
      <c r="X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8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39</v>
      </c>
      <c r="Z8" s="23"/>
      <c r="AA8" s="23"/>
      <c r="AB8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39</v>
      </c>
      <c r="AC8" s="23">
        <f t="shared" si="0"/>
        <v>20</v>
      </c>
      <c r="AD8" s="24">
        <f>Twirling_Solo_Program28910111213141516171852535455565758606163[[#This Row],[Final Total]]</f>
        <v>39</v>
      </c>
      <c r="AE8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7</v>
      </c>
      <c r="AF8" s="16" t="s">
        <v>35</v>
      </c>
    </row>
    <row r="9" spans="1:51" x14ac:dyDescent="0.3">
      <c r="A9" s="16">
        <v>118</v>
      </c>
      <c r="B9" s="17">
        <v>1</v>
      </c>
      <c r="C9" s="17" t="s">
        <v>101</v>
      </c>
      <c r="D9" s="17" t="s">
        <v>23</v>
      </c>
      <c r="E9" s="17" t="s">
        <v>60</v>
      </c>
      <c r="F9" s="17" t="s">
        <v>115</v>
      </c>
      <c r="G9" s="17" t="s">
        <v>52</v>
      </c>
      <c r="H9" s="18" t="s">
        <v>25</v>
      </c>
      <c r="I9" s="19">
        <v>20.7</v>
      </c>
      <c r="J9" s="20">
        <v>1</v>
      </c>
      <c r="K9" s="21">
        <f>Twirling_Solo_Program28910111213141516171852535455565758606163[[#This Row],[Judge 1
Tamara Beljak]]-J9</f>
        <v>19.7</v>
      </c>
      <c r="L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8</v>
      </c>
      <c r="M9" s="19">
        <v>17.100000000000001</v>
      </c>
      <c r="N9" s="20">
        <v>1</v>
      </c>
      <c r="O9" s="21">
        <f>Twirling_Solo_Program28910111213141516171852535455565758606163[[#This Row],[Judge 2
Tihomir Bendelja]]-Twirling_Solo_Program28910111213141516171852535455565758606163[[#This Row],[J2 (-)]]</f>
        <v>16.100000000000001</v>
      </c>
      <c r="P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9</v>
      </c>
      <c r="Q9" s="19"/>
      <c r="R9" s="20"/>
      <c r="S9" s="21">
        <f>Twirling_Solo_Program28910111213141516171852535455565758606163[[#This Row],[Judge 3
Barbara Novina]]-R9</f>
        <v>0</v>
      </c>
      <c r="T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9" s="19"/>
      <c r="V9" s="20"/>
      <c r="W9" s="21">
        <f>Twirling_Solo_Program28910111213141516171852535455565758606163[[#This Row],[Judge 4
Bernard Barač]]-V9</f>
        <v>0</v>
      </c>
      <c r="X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9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35.799999999999997</v>
      </c>
      <c r="Z9" s="23"/>
      <c r="AA9" s="23"/>
      <c r="AB9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35.799999999999997</v>
      </c>
      <c r="AC9" s="23">
        <f t="shared" si="0"/>
        <v>18.899999999999999</v>
      </c>
      <c r="AD9" s="24">
        <f>Twirling_Solo_Program28910111213141516171852535455565758606163[[#This Row],[Final Total]]</f>
        <v>35.799999999999997</v>
      </c>
      <c r="AE9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8</v>
      </c>
      <c r="AF9" s="16" t="s">
        <v>35</v>
      </c>
    </row>
    <row r="10" spans="1:51" x14ac:dyDescent="0.3">
      <c r="A10" s="16">
        <v>100</v>
      </c>
      <c r="B10" s="17">
        <v>1</v>
      </c>
      <c r="C10" s="17" t="s">
        <v>101</v>
      </c>
      <c r="D10" s="17" t="s">
        <v>23</v>
      </c>
      <c r="E10" s="17" t="s">
        <v>60</v>
      </c>
      <c r="F10" s="17" t="s">
        <v>108</v>
      </c>
      <c r="G10" s="17" t="s">
        <v>73</v>
      </c>
      <c r="H10" s="18" t="s">
        <v>25</v>
      </c>
      <c r="I10" s="19">
        <v>17.5</v>
      </c>
      <c r="J10" s="20">
        <v>0</v>
      </c>
      <c r="K10" s="21">
        <f>Twirling_Solo_Program28910111213141516171852535455565758606163[[#This Row],[Judge 1
Tamara Beljak]]-J10</f>
        <v>17.5</v>
      </c>
      <c r="L10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9</v>
      </c>
      <c r="M10" s="19">
        <v>16.2</v>
      </c>
      <c r="N10" s="20">
        <v>0</v>
      </c>
      <c r="O10" s="21">
        <f>Twirling_Solo_Program28910111213141516171852535455565758606163[[#This Row],[Judge 2
Tihomir Bendelja]]-Twirling_Solo_Program28910111213141516171852535455565758606163[[#This Row],[J2 (-)]]</f>
        <v>16.2</v>
      </c>
      <c r="P10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8</v>
      </c>
      <c r="Q10" s="19"/>
      <c r="R10" s="20"/>
      <c r="S10" s="21">
        <f>Twirling_Solo_Program28910111213141516171852535455565758606163[[#This Row],[Judge 3
Barbara Novina]]-R10</f>
        <v>0</v>
      </c>
      <c r="T10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0" s="19"/>
      <c r="V10" s="20"/>
      <c r="W10" s="21">
        <f>Twirling_Solo_Program28910111213141516171852535455565758606163[[#This Row],[Judge 4
Bernard Barač]]-V10</f>
        <v>0</v>
      </c>
      <c r="X10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0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33.700000000000003</v>
      </c>
      <c r="Z10" s="23"/>
      <c r="AA10" s="23"/>
      <c r="AB10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33.700000000000003</v>
      </c>
      <c r="AC10" s="23">
        <f t="shared" si="0"/>
        <v>16.850000000000001</v>
      </c>
      <c r="AD10" s="24">
        <f>Twirling_Solo_Program28910111213141516171852535455565758606163[[#This Row],[Final Total]]</f>
        <v>33.700000000000003</v>
      </c>
      <c r="AE10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9</v>
      </c>
      <c r="AF10" s="16" t="s">
        <v>35</v>
      </c>
    </row>
    <row r="11" spans="1:51" x14ac:dyDescent="0.3">
      <c r="A11" s="16">
        <v>90</v>
      </c>
      <c r="B11" s="17">
        <v>1</v>
      </c>
      <c r="C11" s="17" t="s">
        <v>101</v>
      </c>
      <c r="D11" s="17" t="s">
        <v>23</v>
      </c>
      <c r="E11" s="17" t="s">
        <v>60</v>
      </c>
      <c r="F11" s="17" t="s">
        <v>38</v>
      </c>
      <c r="G11" s="17" t="s">
        <v>24</v>
      </c>
      <c r="H11" s="18" t="s">
        <v>25</v>
      </c>
      <c r="I11" s="19">
        <v>17.5</v>
      </c>
      <c r="J11" s="20">
        <v>0</v>
      </c>
      <c r="K11" s="21">
        <f>Twirling_Solo_Program28910111213141516171852535455565758606163[[#This Row],[Judge 1
Tamara Beljak]]-J11</f>
        <v>17.5</v>
      </c>
      <c r="L11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9</v>
      </c>
      <c r="M11" s="19">
        <v>16.100000000000001</v>
      </c>
      <c r="N11" s="20">
        <v>0</v>
      </c>
      <c r="O11" s="21">
        <f>Twirling_Solo_Program28910111213141516171852535455565758606163[[#This Row],[Judge 2
Tihomir Bendelja]]-Twirling_Solo_Program28910111213141516171852535455565758606163[[#This Row],[J2 (-)]]</f>
        <v>16.100000000000001</v>
      </c>
      <c r="P11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9</v>
      </c>
      <c r="Q11" s="19"/>
      <c r="R11" s="20"/>
      <c r="S11" s="21">
        <f>Twirling_Solo_Program28910111213141516171852535455565758606163[[#This Row],[Judge 3
Barbara Novina]]-R11</f>
        <v>0</v>
      </c>
      <c r="T11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1" s="19"/>
      <c r="V11" s="20"/>
      <c r="W11" s="21">
        <f>Twirling_Solo_Program28910111213141516171852535455565758606163[[#This Row],[Judge 4
Bernard Barač]]-V11</f>
        <v>0</v>
      </c>
      <c r="X11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1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33.6</v>
      </c>
      <c r="Z11" s="23"/>
      <c r="AA11" s="23"/>
      <c r="AB11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33.6</v>
      </c>
      <c r="AC11" s="23">
        <f t="shared" si="0"/>
        <v>16.8</v>
      </c>
      <c r="AD11" s="24">
        <f>Twirling_Solo_Program28910111213141516171852535455565758606163[[#This Row],[Final Total]]</f>
        <v>33.6</v>
      </c>
      <c r="AE11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10</v>
      </c>
      <c r="AF11" s="16" t="s">
        <v>35</v>
      </c>
    </row>
    <row r="12" spans="1:51" x14ac:dyDescent="0.3">
      <c r="A12" s="16">
        <v>84</v>
      </c>
      <c r="B12" s="17">
        <v>1</v>
      </c>
      <c r="C12" s="17" t="s">
        <v>101</v>
      </c>
      <c r="D12" s="17" t="s">
        <v>23</v>
      </c>
      <c r="E12" s="17" t="s">
        <v>60</v>
      </c>
      <c r="F12" s="17" t="s">
        <v>102</v>
      </c>
      <c r="G12" s="17" t="s">
        <v>73</v>
      </c>
      <c r="H12" s="18" t="s">
        <v>25</v>
      </c>
      <c r="I12" s="19">
        <v>16</v>
      </c>
      <c r="J12" s="20">
        <v>1.5</v>
      </c>
      <c r="K12" s="21">
        <f>Twirling_Solo_Program28910111213141516171852535455565758606163[[#This Row],[Judge 1
Tamara Beljak]]-J12</f>
        <v>14.5</v>
      </c>
      <c r="L1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11</v>
      </c>
      <c r="M12" s="19">
        <v>16</v>
      </c>
      <c r="N12" s="20">
        <v>1.5</v>
      </c>
      <c r="O12" s="21">
        <f>Twirling_Solo_Program28910111213141516171852535455565758606163[[#This Row],[Judge 2
Tihomir Bendelja]]-Twirling_Solo_Program28910111213141516171852535455565758606163[[#This Row],[J2 (-)]]</f>
        <v>14.5</v>
      </c>
      <c r="P1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11</v>
      </c>
      <c r="Q12" s="19"/>
      <c r="R12" s="20"/>
      <c r="S12" s="21">
        <f>Twirling_Solo_Program28910111213141516171852535455565758606163[[#This Row],[Judge 3
Barbara Novina]]-R12</f>
        <v>0</v>
      </c>
      <c r="T1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2" s="19"/>
      <c r="V12" s="20"/>
      <c r="W12" s="21">
        <f>Twirling_Solo_Program28910111213141516171852535455565758606163[[#This Row],[Judge 4
Bernard Barač]]-V12</f>
        <v>0</v>
      </c>
      <c r="X12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2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29</v>
      </c>
      <c r="Z12" s="23"/>
      <c r="AA12" s="23"/>
      <c r="AB12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29</v>
      </c>
      <c r="AC12" s="23">
        <f t="shared" si="0"/>
        <v>16</v>
      </c>
      <c r="AD12" s="24">
        <f>Twirling_Solo_Program28910111213141516171852535455565758606163[[#This Row],[Final Total]]</f>
        <v>29</v>
      </c>
      <c r="AE12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11</v>
      </c>
      <c r="AF12" s="16" t="s">
        <v>35</v>
      </c>
    </row>
    <row r="13" spans="1:51" x14ac:dyDescent="0.3">
      <c r="A13" s="16">
        <v>102</v>
      </c>
      <c r="B13" s="17">
        <v>1</v>
      </c>
      <c r="C13" s="17" t="s">
        <v>101</v>
      </c>
      <c r="D13" s="17" t="s">
        <v>23</v>
      </c>
      <c r="E13" s="17" t="s">
        <v>60</v>
      </c>
      <c r="F13" s="17" t="s">
        <v>109</v>
      </c>
      <c r="G13" s="17" t="s">
        <v>24</v>
      </c>
      <c r="H13" s="18" t="s">
        <v>25</v>
      </c>
      <c r="I13" s="19">
        <v>16</v>
      </c>
      <c r="J13" s="20">
        <v>2</v>
      </c>
      <c r="K13" s="21">
        <f>Twirling_Solo_Program28910111213141516171852535455565758606163[[#This Row],[Judge 1
Tamara Beljak]]-J13</f>
        <v>14</v>
      </c>
      <c r="L1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13</v>
      </c>
      <c r="M13" s="19">
        <v>16.5</v>
      </c>
      <c r="N13" s="20">
        <v>2</v>
      </c>
      <c r="O13" s="21">
        <f>Twirling_Solo_Program28910111213141516171852535455565758606163[[#This Row],[Judge 2
Tihomir Bendelja]]-Twirling_Solo_Program28910111213141516171852535455565758606163[[#This Row],[J2 (-)]]</f>
        <v>14.5</v>
      </c>
      <c r="P1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11</v>
      </c>
      <c r="Q13" s="19"/>
      <c r="R13" s="20"/>
      <c r="S13" s="21">
        <f>Twirling_Solo_Program28910111213141516171852535455565758606163[[#This Row],[Judge 3
Barbara Novina]]-R13</f>
        <v>0</v>
      </c>
      <c r="T1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3" s="19"/>
      <c r="V13" s="20"/>
      <c r="W13" s="21">
        <f>Twirling_Solo_Program28910111213141516171852535455565758606163[[#This Row],[Judge 4
Bernard Barač]]-V13</f>
        <v>0</v>
      </c>
      <c r="X13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3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28.5</v>
      </c>
      <c r="Z13" s="23"/>
      <c r="AA13" s="23"/>
      <c r="AB13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28.5</v>
      </c>
      <c r="AC13" s="23">
        <f t="shared" si="0"/>
        <v>16.25</v>
      </c>
      <c r="AD13" s="24">
        <f>Twirling_Solo_Program28910111213141516171852535455565758606163[[#This Row],[Final Total]]</f>
        <v>28.5</v>
      </c>
      <c r="AE13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12</v>
      </c>
      <c r="AF13" s="16" t="s">
        <v>35</v>
      </c>
    </row>
    <row r="14" spans="1:51" x14ac:dyDescent="0.3">
      <c r="A14" s="16">
        <v>114</v>
      </c>
      <c r="B14" s="17">
        <v>1</v>
      </c>
      <c r="C14" s="17" t="s">
        <v>101</v>
      </c>
      <c r="D14" s="17" t="s">
        <v>23</v>
      </c>
      <c r="E14" s="17" t="s">
        <v>60</v>
      </c>
      <c r="F14" s="17" t="s">
        <v>114</v>
      </c>
      <c r="G14" s="17" t="s">
        <v>73</v>
      </c>
      <c r="H14" s="18" t="s">
        <v>25</v>
      </c>
      <c r="I14" s="19">
        <v>14.4</v>
      </c>
      <c r="J14" s="20">
        <v>0.5</v>
      </c>
      <c r="K14" s="21">
        <f>Twirling_Solo_Program28910111213141516171852535455565758606163[[#This Row],[Judge 1
Tamara Beljak]]-J14</f>
        <v>13.9</v>
      </c>
      <c r="L1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14</v>
      </c>
      <c r="M14" s="19">
        <v>15</v>
      </c>
      <c r="N14" s="20">
        <v>0.5</v>
      </c>
      <c r="O14" s="21">
        <f>Twirling_Solo_Program28910111213141516171852535455565758606163[[#This Row],[Judge 2
Tihomir Bendelja]]-Twirling_Solo_Program28910111213141516171852535455565758606163[[#This Row],[J2 (-)]]</f>
        <v>14.5</v>
      </c>
      <c r="P1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11</v>
      </c>
      <c r="Q14" s="19"/>
      <c r="R14" s="20"/>
      <c r="S14" s="21">
        <f>Twirling_Solo_Program28910111213141516171852535455565758606163[[#This Row],[Judge 3
Barbara Novina]]-R14</f>
        <v>0</v>
      </c>
      <c r="T1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4" s="19"/>
      <c r="V14" s="20"/>
      <c r="W14" s="21">
        <f>Twirling_Solo_Program28910111213141516171852535455565758606163[[#This Row],[Judge 4
Bernard Barač]]-V14</f>
        <v>0</v>
      </c>
      <c r="X14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4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28.4</v>
      </c>
      <c r="Z14" s="23"/>
      <c r="AA14" s="23"/>
      <c r="AB14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28.4</v>
      </c>
      <c r="AC14" s="23">
        <f t="shared" si="0"/>
        <v>14.7</v>
      </c>
      <c r="AD14" s="24">
        <f>Twirling_Solo_Program28910111213141516171852535455565758606163[[#This Row],[Final Total]]</f>
        <v>28.4</v>
      </c>
      <c r="AE14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13</v>
      </c>
      <c r="AF14" s="16" t="s">
        <v>35</v>
      </c>
    </row>
    <row r="15" spans="1:51" x14ac:dyDescent="0.3">
      <c r="A15" s="16">
        <v>112</v>
      </c>
      <c r="B15" s="17">
        <v>1</v>
      </c>
      <c r="C15" s="17" t="s">
        <v>101</v>
      </c>
      <c r="D15" s="17" t="s">
        <v>23</v>
      </c>
      <c r="E15" s="17" t="s">
        <v>60</v>
      </c>
      <c r="F15" s="17" t="s">
        <v>113</v>
      </c>
      <c r="G15" s="17" t="s">
        <v>52</v>
      </c>
      <c r="H15" s="18" t="s">
        <v>25</v>
      </c>
      <c r="I15" s="19">
        <v>14.4</v>
      </c>
      <c r="J15" s="20">
        <v>0.5</v>
      </c>
      <c r="K15" s="21">
        <f>Twirling_Solo_Program28910111213141516171852535455565758606163[[#This Row],[Judge 1
Tamara Beljak]]-J15</f>
        <v>13.9</v>
      </c>
      <c r="L1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14</v>
      </c>
      <c r="M15" s="19">
        <v>14.9</v>
      </c>
      <c r="N15" s="20">
        <v>0.5</v>
      </c>
      <c r="O15" s="21">
        <f>Twirling_Solo_Program28910111213141516171852535455565758606163[[#This Row],[Judge 2
Tihomir Bendelja]]-Twirling_Solo_Program28910111213141516171852535455565758606163[[#This Row],[J2 (-)]]</f>
        <v>14.4</v>
      </c>
      <c r="P1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14</v>
      </c>
      <c r="Q15" s="19"/>
      <c r="R15" s="20"/>
      <c r="S15" s="21">
        <f>Twirling_Solo_Program28910111213141516171852535455565758606163[[#This Row],[Judge 3
Barbara Novina]]-R15</f>
        <v>0</v>
      </c>
      <c r="T1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5" s="19"/>
      <c r="V15" s="20"/>
      <c r="W15" s="21">
        <f>Twirling_Solo_Program28910111213141516171852535455565758606163[[#This Row],[Judge 4
Bernard Barač]]-V15</f>
        <v>0</v>
      </c>
      <c r="X15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5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28.3</v>
      </c>
      <c r="Z15" s="23"/>
      <c r="AA15" s="23"/>
      <c r="AB15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28.3</v>
      </c>
      <c r="AC15" s="23">
        <f t="shared" si="0"/>
        <v>14.65</v>
      </c>
      <c r="AD15" s="24">
        <f>Twirling_Solo_Program28910111213141516171852535455565758606163[[#This Row],[Final Total]]</f>
        <v>28.3</v>
      </c>
      <c r="AE15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14</v>
      </c>
      <c r="AF15" s="16" t="s">
        <v>35</v>
      </c>
    </row>
    <row r="16" spans="1:51" x14ac:dyDescent="0.3">
      <c r="A16" s="16">
        <v>120</v>
      </c>
      <c r="B16" s="17">
        <v>1</v>
      </c>
      <c r="C16" s="17" t="s">
        <v>101</v>
      </c>
      <c r="D16" s="17" t="s">
        <v>23</v>
      </c>
      <c r="E16" s="17" t="s">
        <v>60</v>
      </c>
      <c r="F16" s="17" t="s">
        <v>116</v>
      </c>
      <c r="G16" s="17" t="s">
        <v>106</v>
      </c>
      <c r="H16" s="18" t="s">
        <v>25</v>
      </c>
      <c r="I16" s="19">
        <v>13.9</v>
      </c>
      <c r="J16" s="20">
        <v>0</v>
      </c>
      <c r="K16" s="21">
        <f>Twirling_Solo_Program28910111213141516171852535455565758606163[[#This Row],[Judge 1
Tamara Beljak]]-J16</f>
        <v>13.9</v>
      </c>
      <c r="L1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14</v>
      </c>
      <c r="M16" s="19">
        <v>14.4</v>
      </c>
      <c r="N16" s="20">
        <v>0</v>
      </c>
      <c r="O16" s="21">
        <f>Twirling_Solo_Program28910111213141516171852535455565758606163[[#This Row],[Judge 2
Tihomir Bendelja]]-Twirling_Solo_Program28910111213141516171852535455565758606163[[#This Row],[J2 (-)]]</f>
        <v>14.4</v>
      </c>
      <c r="P1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14</v>
      </c>
      <c r="Q16" s="19"/>
      <c r="R16" s="20"/>
      <c r="S16" s="21">
        <f>Twirling_Solo_Program28910111213141516171852535455565758606163[[#This Row],[Judge 3
Barbara Novina]]-R16</f>
        <v>0</v>
      </c>
      <c r="T1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6" s="19"/>
      <c r="V16" s="20"/>
      <c r="W16" s="21">
        <f>Twirling_Solo_Program28910111213141516171852535455565758606163[[#This Row],[Judge 4
Bernard Barač]]-V16</f>
        <v>0</v>
      </c>
      <c r="X16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6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28.3</v>
      </c>
      <c r="Z16" s="23"/>
      <c r="AA16" s="23"/>
      <c r="AB16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28.3</v>
      </c>
      <c r="AC16" s="23">
        <f t="shared" si="0"/>
        <v>14.15</v>
      </c>
      <c r="AD16" s="24">
        <f>Twirling_Solo_Program28910111213141516171852535455565758606163[[#This Row],[Final Total]]</f>
        <v>28.3</v>
      </c>
      <c r="AE16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14</v>
      </c>
      <c r="AF16" s="16" t="s">
        <v>35</v>
      </c>
    </row>
    <row r="17" spans="1:32" x14ac:dyDescent="0.3">
      <c r="A17" s="16">
        <v>108</v>
      </c>
      <c r="B17" s="17">
        <v>1</v>
      </c>
      <c r="C17" s="17" t="s">
        <v>101</v>
      </c>
      <c r="D17" s="17" t="s">
        <v>23</v>
      </c>
      <c r="E17" s="17" t="s">
        <v>60</v>
      </c>
      <c r="F17" s="17" t="s">
        <v>112</v>
      </c>
      <c r="G17" s="17" t="s">
        <v>106</v>
      </c>
      <c r="H17" s="18" t="s">
        <v>25</v>
      </c>
      <c r="I17" s="19">
        <v>15.8</v>
      </c>
      <c r="J17" s="20">
        <v>1.5</v>
      </c>
      <c r="K17" s="21">
        <f>Twirling_Solo_Program28910111213141516171852535455565758606163[[#This Row],[Judge 1
Tamara Beljak]]-J17</f>
        <v>14.3</v>
      </c>
      <c r="L1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12</v>
      </c>
      <c r="M17" s="19">
        <v>13.5</v>
      </c>
      <c r="N17" s="20">
        <v>1.5</v>
      </c>
      <c r="O17" s="21">
        <f>Twirling_Solo_Program28910111213141516171852535455565758606163[[#This Row],[Judge 2
Tihomir Bendelja]]-Twirling_Solo_Program28910111213141516171852535455565758606163[[#This Row],[J2 (-)]]</f>
        <v>12</v>
      </c>
      <c r="P1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17</v>
      </c>
      <c r="Q17" s="19"/>
      <c r="R17" s="20"/>
      <c r="S17" s="21">
        <f>Twirling_Solo_Program28910111213141516171852535455565758606163[[#This Row],[Judge 3
Barbara Novina]]-R17</f>
        <v>0</v>
      </c>
      <c r="T1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7" s="19"/>
      <c r="V17" s="20"/>
      <c r="W17" s="21">
        <f>Twirling_Solo_Program28910111213141516171852535455565758606163[[#This Row],[Judge 4
Bernard Barač]]-V17</f>
        <v>0</v>
      </c>
      <c r="X17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7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26.3</v>
      </c>
      <c r="Z17" s="23"/>
      <c r="AA17" s="23"/>
      <c r="AB17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26.3</v>
      </c>
      <c r="AC17" s="23">
        <f t="shared" si="0"/>
        <v>14.65</v>
      </c>
      <c r="AD17" s="24">
        <f>Twirling_Solo_Program28910111213141516171852535455565758606163[[#This Row],[Final Total]]</f>
        <v>26.3</v>
      </c>
      <c r="AE17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16</v>
      </c>
      <c r="AF17" s="16" t="s">
        <v>35</v>
      </c>
    </row>
    <row r="18" spans="1:32" x14ac:dyDescent="0.3">
      <c r="A18" s="16">
        <v>94</v>
      </c>
      <c r="B18" s="17">
        <v>1</v>
      </c>
      <c r="C18" s="17" t="s">
        <v>101</v>
      </c>
      <c r="D18" s="17" t="s">
        <v>23</v>
      </c>
      <c r="E18" s="17" t="s">
        <v>60</v>
      </c>
      <c r="F18" s="17" t="s">
        <v>107</v>
      </c>
      <c r="G18" s="17" t="s">
        <v>32</v>
      </c>
      <c r="H18" s="18" t="s">
        <v>25</v>
      </c>
      <c r="I18" s="19">
        <v>13.4</v>
      </c>
      <c r="J18" s="20">
        <v>0.5</v>
      </c>
      <c r="K18" s="21">
        <f>Twirling_Solo_Program28910111213141516171852535455565758606163[[#This Row],[Judge 1
Tamara Beljak]]-J18</f>
        <v>12.9</v>
      </c>
      <c r="L1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17</v>
      </c>
      <c r="M18" s="19">
        <v>13.6</v>
      </c>
      <c r="N18" s="20">
        <v>0.5</v>
      </c>
      <c r="O18" s="21">
        <f>Twirling_Solo_Program28910111213141516171852535455565758606163[[#This Row],[Judge 2
Tihomir Bendelja]]-Twirling_Solo_Program28910111213141516171852535455565758606163[[#This Row],[J2 (-)]]</f>
        <v>13.1</v>
      </c>
      <c r="P1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16</v>
      </c>
      <c r="Q18" s="19"/>
      <c r="R18" s="20"/>
      <c r="S18" s="21">
        <f>Twirling_Solo_Program28910111213141516171852535455565758606163[[#This Row],[Judge 3
Barbara Novina]]-R18</f>
        <v>0</v>
      </c>
      <c r="T1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8" s="19"/>
      <c r="V18" s="20"/>
      <c r="W18" s="21">
        <f>Twirling_Solo_Program28910111213141516171852535455565758606163[[#This Row],[Judge 4
Bernard Barač]]-V18</f>
        <v>0</v>
      </c>
      <c r="X18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8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26</v>
      </c>
      <c r="Z18" s="23"/>
      <c r="AA18" s="23"/>
      <c r="AB18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26</v>
      </c>
      <c r="AC18" s="23">
        <f t="shared" si="0"/>
        <v>13.5</v>
      </c>
      <c r="AD18" s="24">
        <f>Twirling_Solo_Program28910111213141516171852535455565758606163[[#This Row],[Final Total]]</f>
        <v>26</v>
      </c>
      <c r="AE18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17</v>
      </c>
      <c r="AF18" s="16" t="s">
        <v>35</v>
      </c>
    </row>
    <row r="19" spans="1:32" x14ac:dyDescent="0.3">
      <c r="A19" s="16">
        <v>104</v>
      </c>
      <c r="B19" s="17">
        <v>1</v>
      </c>
      <c r="C19" s="17" t="s">
        <v>101</v>
      </c>
      <c r="D19" s="17" t="s">
        <v>23</v>
      </c>
      <c r="E19" s="17" t="s">
        <v>60</v>
      </c>
      <c r="F19" s="17" t="s">
        <v>110</v>
      </c>
      <c r="G19" s="17" t="s">
        <v>32</v>
      </c>
      <c r="H19" s="18" t="s">
        <v>25</v>
      </c>
      <c r="I19" s="19">
        <v>10.199999999999999</v>
      </c>
      <c r="J19" s="20">
        <v>0</v>
      </c>
      <c r="K19" s="21">
        <f>Twirling_Solo_Program28910111213141516171852535455565758606163[[#This Row],[Judge 1
Tamara Beljak]]-J19</f>
        <v>10.199999999999999</v>
      </c>
      <c r="L1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18</v>
      </c>
      <c r="M19" s="19">
        <v>10.4</v>
      </c>
      <c r="N19" s="20">
        <v>0</v>
      </c>
      <c r="O19" s="21">
        <f>Twirling_Solo_Program28910111213141516171852535455565758606163[[#This Row],[Judge 2
Tihomir Bendelja]]-Twirling_Solo_Program28910111213141516171852535455565758606163[[#This Row],[J2 (-)]]</f>
        <v>10.4</v>
      </c>
      <c r="P1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18</v>
      </c>
      <c r="Q19" s="19"/>
      <c r="R19" s="20"/>
      <c r="S19" s="21">
        <f>Twirling_Solo_Program28910111213141516171852535455565758606163[[#This Row],[Judge 3
Barbara Novina]]-R19</f>
        <v>0</v>
      </c>
      <c r="T1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19" s="19"/>
      <c r="V19" s="20"/>
      <c r="W19" s="21">
        <f>Twirling_Solo_Program28910111213141516171852535455565758606163[[#This Row],[Judge 4
Bernard Barač]]-V19</f>
        <v>0</v>
      </c>
      <c r="X19" s="22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19" s="23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20.6</v>
      </c>
      <c r="Z19" s="23"/>
      <c r="AA19" s="23"/>
      <c r="AB19" s="23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20.6</v>
      </c>
      <c r="AC19" s="23">
        <f t="shared" si="0"/>
        <v>10.3</v>
      </c>
      <c r="AD19" s="24">
        <f>Twirling_Solo_Program28910111213141516171852535455565758606163[[#This Row],[Final Total]]</f>
        <v>20.6</v>
      </c>
      <c r="AE19" s="2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18</v>
      </c>
      <c r="AF19" s="16" t="s">
        <v>35</v>
      </c>
    </row>
    <row r="20" spans="1:32" x14ac:dyDescent="0.3">
      <c r="A20" s="29">
        <v>88</v>
      </c>
      <c r="B20" s="30">
        <v>1</v>
      </c>
      <c r="C20" s="30" t="s">
        <v>101</v>
      </c>
      <c r="D20" s="30" t="s">
        <v>23</v>
      </c>
      <c r="E20" s="30" t="s">
        <v>60</v>
      </c>
      <c r="F20" s="30" t="s">
        <v>104</v>
      </c>
      <c r="G20" s="30" t="s">
        <v>32</v>
      </c>
      <c r="H20" s="31" t="s">
        <v>25</v>
      </c>
      <c r="I20" s="32">
        <v>0</v>
      </c>
      <c r="J20" s="32">
        <v>0</v>
      </c>
      <c r="K20" s="32">
        <f>Twirling_Solo_Program28910111213141516171852535455565758606163[[#This Row],[Judge 1
Tamara Beljak]]-J20</f>
        <v>0</v>
      </c>
      <c r="L20" s="33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Row],[Category]],Twirling_Solo_Program28910111213141516171852535455565758606163[J1 TOTAL],"&gt;"&amp;Twirling_Solo_Program28910111213141516171852535455565758606163[[#This Row],[J1 TOTAL]])+1</f>
        <v>19</v>
      </c>
      <c r="M20" s="32">
        <v>0</v>
      </c>
      <c r="N20" s="32">
        <v>0</v>
      </c>
      <c r="O20" s="32">
        <f>Twirling_Solo_Program28910111213141516171852535455565758606163[[#This Row],[Judge 2
Tihomir Bendelja]]-Twirling_Solo_Program28910111213141516171852535455565758606163[[#This Row],[J2 (-)]]</f>
        <v>0</v>
      </c>
      <c r="P20" s="33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Row],[Category]],Twirling_Solo_Program28910111213141516171852535455565758606163[J2 TOTAL],"&gt;"&amp;Twirling_Solo_Program28910111213141516171852535455565758606163[[#This Row],[J2 TOTAL]])+1</f>
        <v>19</v>
      </c>
      <c r="Q20" s="32">
        <v>0</v>
      </c>
      <c r="R20" s="32"/>
      <c r="S20" s="32">
        <f>Twirling_Solo_Program28910111213141516171852535455565758606163[[#This Row],[Judge 3
Barbara Novina]]-R20</f>
        <v>0</v>
      </c>
      <c r="T20" s="33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Row],[Category]],Twirling_Solo_Program28910111213141516171852535455565758606163[J3 TOTAL],"&gt;"&amp;Twirling_Solo_Program28910111213141516171852535455565758606163[[#This Row],[J3 TOTAL]])+1</f>
        <v>1</v>
      </c>
      <c r="U20" s="32">
        <v>0</v>
      </c>
      <c r="V20" s="32"/>
      <c r="W20" s="32">
        <f>Twirling_Solo_Program28910111213141516171852535455565758606163[[#This Row],[Judge 4
Bernard Barač]]-V20</f>
        <v>0</v>
      </c>
      <c r="X20" s="33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Row],[Category]],Twirling_Solo_Program28910111213141516171852535455565758606163[J4 TOTAL],"&gt;"&amp;Twirling_Solo_Program28910111213141516171852535455565758606163[[#This Row],[J4 TOTAL]])+1</f>
        <v>1</v>
      </c>
      <c r="Y20" s="32">
        <f>SUM(Twirling_Solo_Program28910111213141516171852535455565758606163[[#This Row],[J1 TOTAL]]+Twirling_Solo_Program28910111213141516171852535455565758606163[[#This Row],[J2 TOTAL]]+Twirling_Solo_Program28910111213141516171852535455565758606163[[#This Row],[J3 TOTAL]]+Twirling_Solo_Program28910111213141516171852535455565758606163[[#This Row],[J4 TOTAL]])</f>
        <v>0</v>
      </c>
      <c r="Z20" s="32"/>
      <c r="AA20" s="32"/>
      <c r="AB20" s="32">
        <f>SUM(Twirling_Solo_Program28910111213141516171852535455565758606163[[#This Row],[Total]]-Twirling_Solo_Program28910111213141516171852535455565758606163[[#This Row],[Low]]-Twirling_Solo_Program28910111213141516171852535455565758606163[[#This Row],[High]])</f>
        <v>0</v>
      </c>
      <c r="AC20" s="32">
        <f t="shared" si="0"/>
        <v>0</v>
      </c>
      <c r="AD20" s="34">
        <f>Twirling_Solo_Program28910111213141516171852535455565758606163[[#This Row],[Final Total]]</f>
        <v>0</v>
      </c>
      <c r="AE20" s="35">
        <f>COUNTIFS(Twirling_Solo_Program28910111213141516171852535455565758606163[Age
Division],Twirling_Solo_Program28910111213141516171852535455565758606163[[#This Row],[Age
Division]],Twirling_Solo_Program28910111213141516171852535455565758606163[Category],Twirling_Solo_Program28910111213141516171852535455565758606163[[#This Row],[Category]],Twirling_Solo_Program28910111213141516171852535455565758606163[FINAL SCORE],"&gt;"&amp;Twirling_Solo_Program28910111213141516171852535455565758606163[[#This Row],[FINAL SCORE]])+1</f>
        <v>19</v>
      </c>
      <c r="AF20" s="29" t="s">
        <v>35</v>
      </c>
    </row>
  </sheetData>
  <sheetProtection algorithmName="SHA-512" hashValue="+Vjv4/BlqpuX7xNzFHDSwijjO1Wkb4POBFvdcCTV7kR4UNbM/cVHVJz/TBVFCCiWY94h/TNGghUmQJSpBdHOYg==" saltValue="tmDtOd4UXiIDwZeXHpbbU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Y1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28515625" style="27" customWidth="1"/>
    <col min="4" max="4" width="8.7109375" style="28" customWidth="1"/>
    <col min="5" max="5" width="12.7109375" style="28" customWidth="1"/>
    <col min="6" max="6" width="21.5703125" style="18" customWidth="1"/>
    <col min="7" max="7" width="47" style="18" customWidth="1"/>
    <col min="8" max="8" width="10" style="18" customWidth="1"/>
    <col min="9" max="16" width="9.140625" style="18" hidden="1" customWidth="1"/>
    <col min="17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95</v>
      </c>
      <c r="B2" s="17">
        <v>2</v>
      </c>
      <c r="C2" s="17" t="s">
        <v>101</v>
      </c>
      <c r="D2" s="17" t="s">
        <v>23</v>
      </c>
      <c r="E2" s="17" t="s">
        <v>50</v>
      </c>
      <c r="F2" s="17" t="s">
        <v>59</v>
      </c>
      <c r="G2" s="17" t="s">
        <v>58</v>
      </c>
      <c r="H2" s="18" t="s">
        <v>25</v>
      </c>
      <c r="I2" s="19"/>
      <c r="J2" s="20"/>
      <c r="K2" s="21">
        <f>Twirling_Solo_Program2891011121314151617185253545556575860616365[[#This Row],[Judge 1
Tamara Beljak]]-J2</f>
        <v>0</v>
      </c>
      <c r="L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2" s="19"/>
      <c r="N2" s="20"/>
      <c r="O2" s="21">
        <f>Twirling_Solo_Program2891011121314151617185253545556575860616365[[#This Row],[Judge 2
Tihomir Bendelja]]-Twirling_Solo_Program2891011121314151617185253545556575860616365[[#This Row],[J2 (-)]]</f>
        <v>0</v>
      </c>
      <c r="P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2" s="19">
        <v>21.7</v>
      </c>
      <c r="R2" s="20">
        <v>0.5</v>
      </c>
      <c r="S2" s="21">
        <f>Twirling_Solo_Program2891011121314151617185253545556575860616365[[#This Row],[Judge 3
Barbara Novina]]-R2</f>
        <v>21.2</v>
      </c>
      <c r="T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1</v>
      </c>
      <c r="U2" s="19">
        <v>22.7</v>
      </c>
      <c r="V2" s="20">
        <v>0.5</v>
      </c>
      <c r="W2" s="21">
        <f>Twirling_Solo_Program2891011121314151617185253545556575860616365[[#This Row],[Judge 4
Bernard Barač]]-V2</f>
        <v>22.2</v>
      </c>
      <c r="X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1</v>
      </c>
      <c r="Y2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43.4</v>
      </c>
      <c r="Z2" s="23"/>
      <c r="AA2" s="23"/>
      <c r="AB2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43.4</v>
      </c>
      <c r="AC2" s="23">
        <f t="shared" ref="AC2:AC12" si="0">AVERAGE(I2,M2,Q2,U2)</f>
        <v>22.2</v>
      </c>
      <c r="AD2" s="24">
        <f>Twirling_Solo_Program2891011121314151617185253545556575860616365[[#This Row],[Final Total]]</f>
        <v>43.4</v>
      </c>
      <c r="AE2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1</v>
      </c>
      <c r="AF2" s="16" t="s">
        <v>35</v>
      </c>
    </row>
    <row r="3" spans="1:51" x14ac:dyDescent="0.3">
      <c r="A3" s="16">
        <v>89</v>
      </c>
      <c r="B3" s="17">
        <v>2</v>
      </c>
      <c r="C3" s="17" t="s">
        <v>101</v>
      </c>
      <c r="D3" s="17" t="s">
        <v>23</v>
      </c>
      <c r="E3" s="17" t="s">
        <v>50</v>
      </c>
      <c r="F3" s="17" t="s">
        <v>119</v>
      </c>
      <c r="G3" s="17" t="s">
        <v>120</v>
      </c>
      <c r="H3" s="18" t="s">
        <v>28</v>
      </c>
      <c r="I3" s="19"/>
      <c r="J3" s="20"/>
      <c r="K3" s="21">
        <f>Twirling_Solo_Program2891011121314151617185253545556575860616365[[#This Row],[Judge 1
Tamara Beljak]]-J3</f>
        <v>0</v>
      </c>
      <c r="L3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3" s="19"/>
      <c r="N3" s="20"/>
      <c r="O3" s="21">
        <f>Twirling_Solo_Program2891011121314151617185253545556575860616365[[#This Row],[Judge 2
Tihomir Bendelja]]-Twirling_Solo_Program2891011121314151617185253545556575860616365[[#This Row],[J2 (-)]]</f>
        <v>0</v>
      </c>
      <c r="P3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3" s="19">
        <v>20.8</v>
      </c>
      <c r="R3" s="20">
        <v>0</v>
      </c>
      <c r="S3" s="21">
        <f>Twirling_Solo_Program2891011121314151617185253545556575860616365[[#This Row],[Judge 3
Barbara Novina]]-R3</f>
        <v>20.8</v>
      </c>
      <c r="T3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2</v>
      </c>
      <c r="U3" s="19">
        <v>22.1</v>
      </c>
      <c r="V3" s="20">
        <v>0</v>
      </c>
      <c r="W3" s="21">
        <f>Twirling_Solo_Program2891011121314151617185253545556575860616365[[#This Row],[Judge 4
Bernard Barač]]-V3</f>
        <v>22.1</v>
      </c>
      <c r="X3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2</v>
      </c>
      <c r="Y3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42.900000000000006</v>
      </c>
      <c r="Z3" s="23"/>
      <c r="AA3" s="23"/>
      <c r="AB3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42.900000000000006</v>
      </c>
      <c r="AC3" s="23">
        <f t="shared" si="0"/>
        <v>21.450000000000003</v>
      </c>
      <c r="AD3" s="24">
        <f>Twirling_Solo_Program2891011121314151617185253545556575860616365[[#This Row],[Final Total]]</f>
        <v>42.900000000000006</v>
      </c>
      <c r="AE3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2</v>
      </c>
      <c r="AF3" s="16" t="s">
        <v>35</v>
      </c>
    </row>
    <row r="4" spans="1:51" x14ac:dyDescent="0.3">
      <c r="A4" s="16">
        <v>97</v>
      </c>
      <c r="B4" s="17">
        <v>2</v>
      </c>
      <c r="C4" s="17" t="s">
        <v>101</v>
      </c>
      <c r="D4" s="17" t="s">
        <v>23</v>
      </c>
      <c r="E4" s="17" t="s">
        <v>50</v>
      </c>
      <c r="F4" s="17" t="s">
        <v>123</v>
      </c>
      <c r="G4" s="17" t="s">
        <v>56</v>
      </c>
      <c r="H4" s="18" t="s">
        <v>25</v>
      </c>
      <c r="I4" s="19"/>
      <c r="J4" s="20"/>
      <c r="K4" s="21">
        <f>Twirling_Solo_Program2891011121314151617185253545556575860616365[[#This Row],[Judge 1
Tamara Beljak]]-J4</f>
        <v>0</v>
      </c>
      <c r="L4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4" s="19"/>
      <c r="N4" s="20"/>
      <c r="O4" s="21">
        <f>Twirling_Solo_Program2891011121314151617185253545556575860616365[[#This Row],[Judge 2
Tihomir Bendelja]]-Twirling_Solo_Program2891011121314151617185253545556575860616365[[#This Row],[J2 (-)]]</f>
        <v>0</v>
      </c>
      <c r="P4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4" s="19">
        <v>20.100000000000001</v>
      </c>
      <c r="R4" s="20">
        <v>0.5</v>
      </c>
      <c r="S4" s="21">
        <f>Twirling_Solo_Program2891011121314151617185253545556575860616365[[#This Row],[Judge 3
Barbara Novina]]-R4</f>
        <v>19.600000000000001</v>
      </c>
      <c r="T4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3</v>
      </c>
      <c r="U4" s="19">
        <v>20.9</v>
      </c>
      <c r="V4" s="20">
        <v>0.5</v>
      </c>
      <c r="W4" s="21">
        <f>Twirling_Solo_Program2891011121314151617185253545556575860616365[[#This Row],[Judge 4
Bernard Barač]]-V4</f>
        <v>20.399999999999999</v>
      </c>
      <c r="X4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3</v>
      </c>
      <c r="Y4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40</v>
      </c>
      <c r="Z4" s="23"/>
      <c r="AA4" s="23"/>
      <c r="AB4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40</v>
      </c>
      <c r="AC4" s="23">
        <f t="shared" si="0"/>
        <v>20.5</v>
      </c>
      <c r="AD4" s="24">
        <f>Twirling_Solo_Program2891011121314151617185253545556575860616365[[#This Row],[Final Total]]</f>
        <v>40</v>
      </c>
      <c r="AE4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3</v>
      </c>
      <c r="AF4" s="16" t="s">
        <v>35</v>
      </c>
    </row>
    <row r="5" spans="1:51" x14ac:dyDescent="0.3">
      <c r="A5" s="16">
        <v>85</v>
      </c>
      <c r="B5" s="17">
        <v>2</v>
      </c>
      <c r="C5" s="17" t="s">
        <v>101</v>
      </c>
      <c r="D5" s="17" t="s">
        <v>23</v>
      </c>
      <c r="E5" s="17" t="s">
        <v>50</v>
      </c>
      <c r="F5" s="17" t="s">
        <v>117</v>
      </c>
      <c r="G5" s="17" t="s">
        <v>56</v>
      </c>
      <c r="H5" s="18" t="s">
        <v>25</v>
      </c>
      <c r="I5" s="19"/>
      <c r="J5" s="20"/>
      <c r="K5" s="21">
        <f>Twirling_Solo_Program2891011121314151617185253545556575860616365[[#This Row],[Judge 1
Tamara Beljak]]-J5</f>
        <v>0</v>
      </c>
      <c r="L5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5" s="19"/>
      <c r="N5" s="20"/>
      <c r="O5" s="21">
        <f>Twirling_Solo_Program2891011121314151617185253545556575860616365[[#This Row],[Judge 2
Tihomir Bendelja]]-Twirling_Solo_Program2891011121314151617185253545556575860616365[[#This Row],[J2 (-)]]</f>
        <v>0</v>
      </c>
      <c r="P5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5" s="19">
        <v>21.1</v>
      </c>
      <c r="R5" s="20">
        <v>1.5</v>
      </c>
      <c r="S5" s="21">
        <f>Twirling_Solo_Program2891011121314151617185253545556575860616365[[#This Row],[Judge 3
Barbara Novina]]-R5</f>
        <v>19.600000000000001</v>
      </c>
      <c r="T5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3</v>
      </c>
      <c r="U5" s="19">
        <v>21.4</v>
      </c>
      <c r="V5" s="20">
        <v>1.5</v>
      </c>
      <c r="W5" s="21">
        <f>Twirling_Solo_Program2891011121314151617185253545556575860616365[[#This Row],[Judge 4
Bernard Barač]]-V5</f>
        <v>19.899999999999999</v>
      </c>
      <c r="X5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4</v>
      </c>
      <c r="Y5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39.5</v>
      </c>
      <c r="Z5" s="23"/>
      <c r="AA5" s="23"/>
      <c r="AB5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39.5</v>
      </c>
      <c r="AC5" s="23">
        <f t="shared" si="0"/>
        <v>21.25</v>
      </c>
      <c r="AD5" s="24">
        <f>Twirling_Solo_Program2891011121314151617185253545556575860616365[[#This Row],[Final Total]]</f>
        <v>39.5</v>
      </c>
      <c r="AE5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4</v>
      </c>
      <c r="AF5" s="16" t="s">
        <v>35</v>
      </c>
    </row>
    <row r="6" spans="1:51" x14ac:dyDescent="0.3">
      <c r="A6" s="16">
        <v>103</v>
      </c>
      <c r="B6" s="17">
        <v>2</v>
      </c>
      <c r="C6" s="17" t="s">
        <v>101</v>
      </c>
      <c r="D6" s="17" t="s">
        <v>23</v>
      </c>
      <c r="E6" s="17" t="s">
        <v>50</v>
      </c>
      <c r="F6" s="17" t="s">
        <v>126</v>
      </c>
      <c r="G6" s="17" t="s">
        <v>56</v>
      </c>
      <c r="H6" s="18" t="s">
        <v>25</v>
      </c>
      <c r="I6" s="19"/>
      <c r="J6" s="20"/>
      <c r="K6" s="21">
        <f>Twirling_Solo_Program2891011121314151617185253545556575860616365[[#This Row],[Judge 1
Tamara Beljak]]-J6</f>
        <v>0</v>
      </c>
      <c r="L6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6" s="19"/>
      <c r="N6" s="20"/>
      <c r="O6" s="21">
        <f>Twirling_Solo_Program2891011121314151617185253545556575860616365[[#This Row],[Judge 2
Tihomir Bendelja]]-Twirling_Solo_Program2891011121314151617185253545556575860616365[[#This Row],[J2 (-)]]</f>
        <v>0</v>
      </c>
      <c r="P6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6" s="19">
        <v>17.3</v>
      </c>
      <c r="R6" s="20">
        <v>0</v>
      </c>
      <c r="S6" s="21">
        <f>Twirling_Solo_Program2891011121314151617185253545556575860616365[[#This Row],[Judge 3
Barbara Novina]]-R6</f>
        <v>17.3</v>
      </c>
      <c r="T6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5</v>
      </c>
      <c r="U6" s="19">
        <v>18.600000000000001</v>
      </c>
      <c r="V6" s="20">
        <v>0</v>
      </c>
      <c r="W6" s="21">
        <f>Twirling_Solo_Program2891011121314151617185253545556575860616365[[#This Row],[Judge 4
Bernard Barač]]-V6</f>
        <v>18.600000000000001</v>
      </c>
      <c r="X6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5</v>
      </c>
      <c r="Y6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35.900000000000006</v>
      </c>
      <c r="Z6" s="23"/>
      <c r="AA6" s="23"/>
      <c r="AB6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35.900000000000006</v>
      </c>
      <c r="AC6" s="23">
        <f t="shared" si="0"/>
        <v>17.950000000000003</v>
      </c>
      <c r="AD6" s="24">
        <f>Twirling_Solo_Program2891011121314151617185253545556575860616365[[#This Row],[Final Total]]</f>
        <v>35.900000000000006</v>
      </c>
      <c r="AE6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5</v>
      </c>
      <c r="AF6" s="16" t="s">
        <v>35</v>
      </c>
    </row>
    <row r="7" spans="1:51" x14ac:dyDescent="0.3">
      <c r="A7" s="16">
        <v>91</v>
      </c>
      <c r="B7" s="17">
        <v>2</v>
      </c>
      <c r="C7" s="17" t="s">
        <v>101</v>
      </c>
      <c r="D7" s="17" t="s">
        <v>23</v>
      </c>
      <c r="E7" s="17" t="s">
        <v>50</v>
      </c>
      <c r="F7" s="17" t="s">
        <v>121</v>
      </c>
      <c r="G7" s="17" t="s">
        <v>52</v>
      </c>
      <c r="H7" s="18" t="s">
        <v>25</v>
      </c>
      <c r="I7" s="19"/>
      <c r="J7" s="20"/>
      <c r="K7" s="21">
        <f>Twirling_Solo_Program2891011121314151617185253545556575860616365[[#This Row],[Judge 1
Tamara Beljak]]-J7</f>
        <v>0</v>
      </c>
      <c r="L7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7" s="19"/>
      <c r="N7" s="20"/>
      <c r="O7" s="21">
        <f>Twirling_Solo_Program2891011121314151617185253545556575860616365[[#This Row],[Judge 2
Tihomir Bendelja]]-Twirling_Solo_Program2891011121314151617185253545556575860616365[[#This Row],[J2 (-)]]</f>
        <v>0</v>
      </c>
      <c r="P7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7" s="19">
        <v>15.6</v>
      </c>
      <c r="R7" s="20">
        <v>0.5</v>
      </c>
      <c r="S7" s="21">
        <f>Twirling_Solo_Program2891011121314151617185253545556575860616365[[#This Row],[Judge 3
Barbara Novina]]-R7</f>
        <v>15.1</v>
      </c>
      <c r="T7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6</v>
      </c>
      <c r="U7" s="19">
        <v>17.100000000000001</v>
      </c>
      <c r="V7" s="20">
        <v>0.5</v>
      </c>
      <c r="W7" s="21">
        <f>Twirling_Solo_Program2891011121314151617185253545556575860616365[[#This Row],[Judge 4
Bernard Barač]]-V7</f>
        <v>16.600000000000001</v>
      </c>
      <c r="X7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6</v>
      </c>
      <c r="Y7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31.700000000000003</v>
      </c>
      <c r="Z7" s="23"/>
      <c r="AA7" s="23"/>
      <c r="AB7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31.700000000000003</v>
      </c>
      <c r="AC7" s="23">
        <f t="shared" si="0"/>
        <v>16.350000000000001</v>
      </c>
      <c r="AD7" s="24">
        <f>Twirling_Solo_Program2891011121314151617185253545556575860616365[[#This Row],[Final Total]]</f>
        <v>31.700000000000003</v>
      </c>
      <c r="AE7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6</v>
      </c>
      <c r="AF7" s="16" t="s">
        <v>35</v>
      </c>
    </row>
    <row r="8" spans="1:51" x14ac:dyDescent="0.3">
      <c r="A8" s="16">
        <v>93</v>
      </c>
      <c r="B8" s="17">
        <v>2</v>
      </c>
      <c r="C8" s="17" t="s">
        <v>101</v>
      </c>
      <c r="D8" s="17" t="s">
        <v>23</v>
      </c>
      <c r="E8" s="17" t="s">
        <v>50</v>
      </c>
      <c r="F8" s="17" t="s">
        <v>122</v>
      </c>
      <c r="G8" s="17" t="s">
        <v>24</v>
      </c>
      <c r="H8" s="18" t="s">
        <v>25</v>
      </c>
      <c r="I8" s="19"/>
      <c r="J8" s="20"/>
      <c r="K8" s="21">
        <f>Twirling_Solo_Program2891011121314151617185253545556575860616365[[#This Row],[Judge 1
Tamara Beljak]]-J8</f>
        <v>0</v>
      </c>
      <c r="L8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8" s="19"/>
      <c r="N8" s="20"/>
      <c r="O8" s="21">
        <f>Twirling_Solo_Program2891011121314151617185253545556575860616365[[#This Row],[Judge 2
Tihomir Bendelja]]-Twirling_Solo_Program2891011121314151617185253545556575860616365[[#This Row],[J2 (-)]]</f>
        <v>0</v>
      </c>
      <c r="P8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8" s="19">
        <v>14.1</v>
      </c>
      <c r="R8" s="20">
        <v>0</v>
      </c>
      <c r="S8" s="21">
        <f>Twirling_Solo_Program2891011121314151617185253545556575860616365[[#This Row],[Judge 3
Barbara Novina]]-R8</f>
        <v>14.1</v>
      </c>
      <c r="T8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7</v>
      </c>
      <c r="U8" s="19">
        <v>15.6</v>
      </c>
      <c r="V8" s="20">
        <v>0</v>
      </c>
      <c r="W8" s="21">
        <f>Twirling_Solo_Program2891011121314151617185253545556575860616365[[#This Row],[Judge 4
Bernard Barač]]-V8</f>
        <v>15.6</v>
      </c>
      <c r="X8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7</v>
      </c>
      <c r="Y8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29.7</v>
      </c>
      <c r="Z8" s="23"/>
      <c r="AA8" s="23"/>
      <c r="AB8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29.7</v>
      </c>
      <c r="AC8" s="23">
        <f t="shared" si="0"/>
        <v>14.85</v>
      </c>
      <c r="AD8" s="24">
        <f>Twirling_Solo_Program2891011121314151617185253545556575860616365[[#This Row],[Final Total]]</f>
        <v>29.7</v>
      </c>
      <c r="AE8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7</v>
      </c>
      <c r="AF8" s="16" t="s">
        <v>35</v>
      </c>
    </row>
    <row r="9" spans="1:51" x14ac:dyDescent="0.3">
      <c r="A9" s="16">
        <v>99</v>
      </c>
      <c r="B9" s="17">
        <v>2</v>
      </c>
      <c r="C9" s="17" t="s">
        <v>101</v>
      </c>
      <c r="D9" s="17" t="s">
        <v>23</v>
      </c>
      <c r="E9" s="17" t="s">
        <v>50</v>
      </c>
      <c r="F9" s="17" t="s">
        <v>124</v>
      </c>
      <c r="G9" s="17" t="s">
        <v>52</v>
      </c>
      <c r="H9" s="18" t="s">
        <v>25</v>
      </c>
      <c r="I9" s="19"/>
      <c r="J9" s="20"/>
      <c r="K9" s="21">
        <f>Twirling_Solo_Program2891011121314151617185253545556575860616365[[#This Row],[Judge 1
Tamara Beljak]]-J9</f>
        <v>0</v>
      </c>
      <c r="L9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9" s="19"/>
      <c r="N9" s="20"/>
      <c r="O9" s="21">
        <f>Twirling_Solo_Program2891011121314151617185253545556575860616365[[#This Row],[Judge 2
Tihomir Bendelja]]-Twirling_Solo_Program2891011121314151617185253545556575860616365[[#This Row],[J2 (-)]]</f>
        <v>0</v>
      </c>
      <c r="P9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9" s="19">
        <v>12</v>
      </c>
      <c r="R9" s="20">
        <v>1.5</v>
      </c>
      <c r="S9" s="21">
        <f>Twirling_Solo_Program2891011121314151617185253545556575860616365[[#This Row],[Judge 3
Barbara Novina]]-R9</f>
        <v>10.5</v>
      </c>
      <c r="T9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8</v>
      </c>
      <c r="U9" s="19">
        <v>15.1</v>
      </c>
      <c r="V9" s="20">
        <v>1.5</v>
      </c>
      <c r="W9" s="21">
        <f>Twirling_Solo_Program2891011121314151617185253545556575860616365[[#This Row],[Judge 4
Bernard Barač]]-V9</f>
        <v>13.6</v>
      </c>
      <c r="X9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8</v>
      </c>
      <c r="Y9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24.1</v>
      </c>
      <c r="Z9" s="23"/>
      <c r="AA9" s="23"/>
      <c r="AB9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24.1</v>
      </c>
      <c r="AC9" s="23">
        <f t="shared" si="0"/>
        <v>13.55</v>
      </c>
      <c r="AD9" s="24">
        <f>Twirling_Solo_Program2891011121314151617185253545556575860616365[[#This Row],[Final Total]]</f>
        <v>24.1</v>
      </c>
      <c r="AE9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8</v>
      </c>
      <c r="AF9" s="16" t="s">
        <v>35</v>
      </c>
    </row>
    <row r="10" spans="1:51" x14ac:dyDescent="0.3">
      <c r="A10" s="16">
        <v>105</v>
      </c>
      <c r="B10" s="17">
        <v>2</v>
      </c>
      <c r="C10" s="17" t="s">
        <v>101</v>
      </c>
      <c r="D10" s="17" t="s">
        <v>23</v>
      </c>
      <c r="E10" s="17" t="s">
        <v>50</v>
      </c>
      <c r="F10" s="17" t="s">
        <v>51</v>
      </c>
      <c r="G10" s="17" t="s">
        <v>52</v>
      </c>
      <c r="H10" s="18" t="s">
        <v>25</v>
      </c>
      <c r="I10" s="19"/>
      <c r="J10" s="20"/>
      <c r="K10" s="21">
        <f>Twirling_Solo_Program2891011121314151617185253545556575860616365[[#This Row],[Judge 1
Tamara Beljak]]-J10</f>
        <v>0</v>
      </c>
      <c r="L10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10" s="19"/>
      <c r="N10" s="20"/>
      <c r="O10" s="21">
        <f>Twirling_Solo_Program2891011121314151617185253545556575860616365[[#This Row],[Judge 2
Tihomir Bendelja]]-Twirling_Solo_Program2891011121314151617185253545556575860616365[[#This Row],[J2 (-)]]</f>
        <v>0</v>
      </c>
      <c r="P10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10" s="19">
        <v>11.4</v>
      </c>
      <c r="R10" s="20">
        <v>1</v>
      </c>
      <c r="S10" s="21">
        <f>Twirling_Solo_Program2891011121314151617185253545556575860616365[[#This Row],[Judge 3
Barbara Novina]]-R10</f>
        <v>10.4</v>
      </c>
      <c r="T10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9</v>
      </c>
      <c r="U10" s="19">
        <v>14.2</v>
      </c>
      <c r="V10" s="20">
        <v>1</v>
      </c>
      <c r="W10" s="21">
        <f>Twirling_Solo_Program2891011121314151617185253545556575860616365[[#This Row],[Judge 4
Bernard Barač]]-V10</f>
        <v>13.2</v>
      </c>
      <c r="X10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9</v>
      </c>
      <c r="Y10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23.6</v>
      </c>
      <c r="Z10" s="23"/>
      <c r="AA10" s="23"/>
      <c r="AB10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23.6</v>
      </c>
      <c r="AC10" s="23">
        <f t="shared" si="0"/>
        <v>12.8</v>
      </c>
      <c r="AD10" s="24">
        <f>Twirling_Solo_Program2891011121314151617185253545556575860616365[[#This Row],[Final Total]]</f>
        <v>23.6</v>
      </c>
      <c r="AE10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9</v>
      </c>
      <c r="AF10" s="16" t="s">
        <v>35</v>
      </c>
    </row>
    <row r="11" spans="1:51" x14ac:dyDescent="0.3">
      <c r="A11" s="16">
        <v>101</v>
      </c>
      <c r="B11" s="17">
        <v>2</v>
      </c>
      <c r="C11" s="17" t="s">
        <v>101</v>
      </c>
      <c r="D11" s="17" t="s">
        <v>23</v>
      </c>
      <c r="E11" s="17" t="s">
        <v>50</v>
      </c>
      <c r="F11" s="17" t="s">
        <v>125</v>
      </c>
      <c r="G11" s="17" t="s">
        <v>32</v>
      </c>
      <c r="H11" s="18" t="s">
        <v>25</v>
      </c>
      <c r="I11" s="19"/>
      <c r="J11" s="20"/>
      <c r="K11" s="21">
        <f>Twirling_Solo_Program2891011121314151617185253545556575860616365[[#This Row],[Judge 1
Tamara Beljak]]-J11</f>
        <v>0</v>
      </c>
      <c r="L11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11" s="19"/>
      <c r="N11" s="20"/>
      <c r="O11" s="21">
        <f>Twirling_Solo_Program2891011121314151617185253545556575860616365[[#This Row],[Judge 2
Tihomir Bendelja]]-Twirling_Solo_Program2891011121314151617185253545556575860616365[[#This Row],[J2 (-)]]</f>
        <v>0</v>
      </c>
      <c r="P11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11" s="19">
        <v>10.5</v>
      </c>
      <c r="R11" s="20">
        <v>1</v>
      </c>
      <c r="S11" s="21">
        <f>Twirling_Solo_Program2891011121314151617185253545556575860616365[[#This Row],[Judge 3
Barbara Novina]]-R11</f>
        <v>9.5</v>
      </c>
      <c r="T11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10</v>
      </c>
      <c r="U11" s="19">
        <v>11.6</v>
      </c>
      <c r="V11" s="20">
        <v>1</v>
      </c>
      <c r="W11" s="21">
        <f>Twirling_Solo_Program2891011121314151617185253545556575860616365[[#This Row],[Judge 4
Bernard Barač]]-V11</f>
        <v>10.6</v>
      </c>
      <c r="X11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10</v>
      </c>
      <c r="Y11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20.100000000000001</v>
      </c>
      <c r="Z11" s="23"/>
      <c r="AA11" s="23"/>
      <c r="AB11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20.100000000000001</v>
      </c>
      <c r="AC11" s="23">
        <f t="shared" si="0"/>
        <v>11.05</v>
      </c>
      <c r="AD11" s="24">
        <f>Twirling_Solo_Program2891011121314151617185253545556575860616365[[#This Row],[Final Total]]</f>
        <v>20.100000000000001</v>
      </c>
      <c r="AE11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10</v>
      </c>
      <c r="AF11" s="16" t="s">
        <v>35</v>
      </c>
    </row>
    <row r="12" spans="1:51" x14ac:dyDescent="0.3">
      <c r="A12" s="16">
        <v>87</v>
      </c>
      <c r="B12" s="17">
        <v>2</v>
      </c>
      <c r="C12" s="17" t="s">
        <v>101</v>
      </c>
      <c r="D12" s="17" t="s">
        <v>23</v>
      </c>
      <c r="E12" s="17" t="s">
        <v>50</v>
      </c>
      <c r="F12" s="17" t="s">
        <v>118</v>
      </c>
      <c r="G12" s="17" t="s">
        <v>32</v>
      </c>
      <c r="H12" s="18" t="s">
        <v>25</v>
      </c>
      <c r="I12" s="19"/>
      <c r="J12" s="20"/>
      <c r="K12" s="21">
        <f>Twirling_Solo_Program2891011121314151617185253545556575860616365[[#This Row],[Judge 1
Tamara Beljak]]-J12</f>
        <v>0</v>
      </c>
      <c r="L1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Row],[Category]],Twirling_Solo_Program2891011121314151617185253545556575860616365[J1 TOTAL],"&gt;"&amp;Twirling_Solo_Program2891011121314151617185253545556575860616365[[#This Row],[J1 TOTAL]])+1</f>
        <v>1</v>
      </c>
      <c r="M12" s="19"/>
      <c r="N12" s="20"/>
      <c r="O12" s="21">
        <f>Twirling_Solo_Program2891011121314151617185253545556575860616365[[#This Row],[Judge 2
Tihomir Bendelja]]-Twirling_Solo_Program2891011121314151617185253545556575860616365[[#This Row],[J2 (-)]]</f>
        <v>0</v>
      </c>
      <c r="P1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Row],[Category]],Twirling_Solo_Program2891011121314151617185253545556575860616365[J2 TOTAL],"&gt;"&amp;Twirling_Solo_Program2891011121314151617185253545556575860616365[[#This Row],[J2 TOTAL]])+1</f>
        <v>1</v>
      </c>
      <c r="Q12" s="19">
        <v>11.2</v>
      </c>
      <c r="R12" s="20">
        <v>2.5</v>
      </c>
      <c r="S12" s="21">
        <f>Twirling_Solo_Program2891011121314151617185253545556575860616365[[#This Row],[Judge 3
Barbara Novina]]-R12</f>
        <v>8.6999999999999993</v>
      </c>
      <c r="T1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Row],[Category]],Twirling_Solo_Program2891011121314151617185253545556575860616365[J3 TOTAL],"&gt;"&amp;Twirling_Solo_Program2891011121314151617185253545556575860616365[[#This Row],[J3 TOTAL]])+1</f>
        <v>11</v>
      </c>
      <c r="U12" s="19">
        <v>12.9</v>
      </c>
      <c r="V12" s="20">
        <v>2.5</v>
      </c>
      <c r="W12" s="21">
        <f>Twirling_Solo_Program2891011121314151617185253545556575860616365[[#This Row],[Judge 4
Bernard Barač]]-V12</f>
        <v>10.4</v>
      </c>
      <c r="X12" s="22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Row],[Category]],Twirling_Solo_Program2891011121314151617185253545556575860616365[J4 TOTAL],"&gt;"&amp;Twirling_Solo_Program2891011121314151617185253545556575860616365[[#This Row],[J4 TOTAL]])+1</f>
        <v>11</v>
      </c>
      <c r="Y12" s="23">
        <f>SUM(Twirling_Solo_Program2891011121314151617185253545556575860616365[[#This Row],[J1 TOTAL]]+Twirling_Solo_Program2891011121314151617185253545556575860616365[[#This Row],[J2 TOTAL]]+Twirling_Solo_Program2891011121314151617185253545556575860616365[[#This Row],[J3 TOTAL]]+Twirling_Solo_Program2891011121314151617185253545556575860616365[[#This Row],[J4 TOTAL]])</f>
        <v>19.100000000000001</v>
      </c>
      <c r="Z12" s="23"/>
      <c r="AA12" s="23"/>
      <c r="AB12" s="23">
        <f>SUM(Twirling_Solo_Program2891011121314151617185253545556575860616365[[#This Row],[Total]]-Twirling_Solo_Program2891011121314151617185253545556575860616365[[#This Row],[Low]]-Twirling_Solo_Program2891011121314151617185253545556575860616365[[#This Row],[High]])</f>
        <v>19.100000000000001</v>
      </c>
      <c r="AC12" s="23">
        <f t="shared" si="0"/>
        <v>12.05</v>
      </c>
      <c r="AD12" s="24">
        <f>Twirling_Solo_Program2891011121314151617185253545556575860616365[[#This Row],[Final Total]]</f>
        <v>19.100000000000001</v>
      </c>
      <c r="AE12" s="25">
        <f>COUNTIFS(Twirling_Solo_Program2891011121314151617185253545556575860616365[Age
Division],Twirling_Solo_Program2891011121314151617185253545556575860616365[[#This Row],[Age
Division]],Twirling_Solo_Program2891011121314151617185253545556575860616365[Category],Twirling_Solo_Program2891011121314151617185253545556575860616365[[#This Row],[Category]],Twirling_Solo_Program2891011121314151617185253545556575860616365[FINAL SCORE],"&gt;"&amp;Twirling_Solo_Program2891011121314151617185253545556575860616365[[#This Row],[FINAL SCORE]])+1</f>
        <v>11</v>
      </c>
      <c r="AF12" s="16" t="s">
        <v>35</v>
      </c>
    </row>
  </sheetData>
  <sheetProtection algorithmName="SHA-512" hashValue="IwK+lySHadcx5+TGGJtdC4TZJDFQQXrRjwWRZP8F07IkIesdbNheb/f1OTMh4aUXVqXa2aAFtuBpqkJ7o7Qhrw==" saltValue="njoqnsWTEI1ZZlBjkCEKT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Y5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1.85546875" style="27" customWidth="1"/>
    <col min="4" max="4" width="9.7109375" style="28" customWidth="1"/>
    <col min="5" max="5" width="10.28515625" style="28" customWidth="1"/>
    <col min="6" max="6" width="13.7109375" style="18" customWidth="1"/>
    <col min="7" max="7" width="41.42578125" style="18" customWidth="1"/>
    <col min="8" max="8" width="9.28515625" style="18" customWidth="1"/>
    <col min="9" max="12" width="9.140625" style="18" customWidth="1"/>
    <col min="13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56</v>
      </c>
      <c r="B2" s="17">
        <v>1</v>
      </c>
      <c r="C2" s="17" t="s">
        <v>101</v>
      </c>
      <c r="D2" s="17" t="s">
        <v>27</v>
      </c>
      <c r="E2" s="17" t="s">
        <v>60</v>
      </c>
      <c r="F2" s="17" t="s">
        <v>72</v>
      </c>
      <c r="G2" s="17" t="s">
        <v>73</v>
      </c>
      <c r="H2" s="18" t="s">
        <v>25</v>
      </c>
      <c r="I2" s="19">
        <v>20.9</v>
      </c>
      <c r="J2" s="20">
        <v>0.5</v>
      </c>
      <c r="K2" s="21">
        <f>Twirling_Solo_Program28910111213141516171852535455565758606163656768[[#This Row],[Judge 1
Tamara Beljak]]-J2</f>
        <v>20.399999999999999</v>
      </c>
      <c r="L2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Row],[Category]],Twirling_Solo_Program28910111213141516171852535455565758606163656768[J1 TOTAL],"&gt;"&amp;Twirling_Solo_Program28910111213141516171852535455565758606163656768[[#This Row],[J1 TOTAL]])+1</f>
        <v>1</v>
      </c>
      <c r="M2" s="19"/>
      <c r="N2" s="20"/>
      <c r="O2" s="21">
        <f>Twirling_Solo_Program28910111213141516171852535455565758606163656768[[#This Row],[Judge 2
Tihomir Bendelja]]-Twirling_Solo_Program28910111213141516171852535455565758606163656768[[#This Row],[J2 (-)]]</f>
        <v>0</v>
      </c>
      <c r="P2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Row],[Category]],Twirling_Solo_Program28910111213141516171852535455565758606163656768[J2 TOTAL],"&gt;"&amp;Twirling_Solo_Program28910111213141516171852535455565758606163656768[[#This Row],[J2 TOTAL]])+1</f>
        <v>1</v>
      </c>
      <c r="Q2" s="19"/>
      <c r="R2" s="20"/>
      <c r="S2" s="21">
        <f>Twirling_Solo_Program28910111213141516171852535455565758606163656768[[#This Row],[Judge 3
Barbara Novina]]-R2</f>
        <v>0</v>
      </c>
      <c r="T2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Row],[Category]],Twirling_Solo_Program28910111213141516171852535455565758606163656768[J3 TOTAL],"&gt;"&amp;Twirling_Solo_Program28910111213141516171852535455565758606163656768[[#This Row],[J3 TOTAL]])+1</f>
        <v>1</v>
      </c>
      <c r="U2" s="19">
        <v>21</v>
      </c>
      <c r="V2" s="20">
        <v>0.5</v>
      </c>
      <c r="W2" s="21">
        <f>Twirling_Solo_Program28910111213141516171852535455565758606163656768[[#This Row],[Judge 4
Bernard Barač]]-V2</f>
        <v>20.5</v>
      </c>
      <c r="X2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Row],[Category]],Twirling_Solo_Program28910111213141516171852535455565758606163656768[J4 TOTAL],"&gt;"&amp;Twirling_Solo_Program28910111213141516171852535455565758606163656768[[#This Row],[J4 TOTAL]])+1</f>
        <v>1</v>
      </c>
      <c r="Y2" s="23">
        <f>SUM(Twirling_Solo_Program28910111213141516171852535455565758606163656768[[#This Row],[J1 TOTAL]]+Twirling_Solo_Program28910111213141516171852535455565758606163656768[[#This Row],[J2 TOTAL]]+Twirling_Solo_Program28910111213141516171852535455565758606163656768[[#This Row],[J3 TOTAL]]+Twirling_Solo_Program28910111213141516171852535455565758606163656768[[#This Row],[J4 TOTAL]])</f>
        <v>40.9</v>
      </c>
      <c r="Z2" s="23"/>
      <c r="AA2" s="23"/>
      <c r="AB2" s="23">
        <f>SUM(Twirling_Solo_Program28910111213141516171852535455565758606163656768[[#This Row],[Total]]-Twirling_Solo_Program28910111213141516171852535455565758606163656768[[#This Row],[Low]]-Twirling_Solo_Program28910111213141516171852535455565758606163656768[[#This Row],[High]])</f>
        <v>40.9</v>
      </c>
      <c r="AC2" s="23">
        <f>AVERAGE(I2,M2,Q2,U2)</f>
        <v>20.95</v>
      </c>
      <c r="AD2" s="24">
        <f>Twirling_Solo_Program28910111213141516171852535455565758606163656768[[#This Row],[Final Total]]</f>
        <v>40.9</v>
      </c>
      <c r="AE2" s="25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Row],[Category]],Twirling_Solo_Program28910111213141516171852535455565758606163656768[FINAL SCORE],"&gt;"&amp;Twirling_Solo_Program28910111213141516171852535455565758606163656768[[#This Row],[FINAL SCORE]])+1</f>
        <v>1</v>
      </c>
      <c r="AF2" s="16" t="s">
        <v>35</v>
      </c>
    </row>
    <row r="3" spans="1:51" x14ac:dyDescent="0.3">
      <c r="A3" s="16">
        <v>60</v>
      </c>
      <c r="B3" s="17">
        <v>1</v>
      </c>
      <c r="C3" s="17" t="s">
        <v>101</v>
      </c>
      <c r="D3" s="17" t="s">
        <v>27</v>
      </c>
      <c r="E3" s="17" t="s">
        <v>60</v>
      </c>
      <c r="F3" s="17" t="s">
        <v>137</v>
      </c>
      <c r="G3" s="17" t="s">
        <v>52</v>
      </c>
      <c r="H3" s="18" t="s">
        <v>25</v>
      </c>
      <c r="I3" s="19">
        <v>20.8</v>
      </c>
      <c r="J3" s="20">
        <v>0.5</v>
      </c>
      <c r="K3" s="21">
        <f>Twirling_Solo_Program28910111213141516171852535455565758606163656768[[#This Row],[Judge 1
Tamara Beljak]]-J3</f>
        <v>20.3</v>
      </c>
      <c r="L3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Row],[Category]],Twirling_Solo_Program28910111213141516171852535455565758606163656768[J1 TOTAL],"&gt;"&amp;Twirling_Solo_Program28910111213141516171852535455565758606163656768[[#This Row],[J1 TOTAL]])+1</f>
        <v>2</v>
      </c>
      <c r="M3" s="19"/>
      <c r="N3" s="20"/>
      <c r="O3" s="21">
        <f>Twirling_Solo_Program28910111213141516171852535455565758606163656768[[#This Row],[Judge 2
Tihomir Bendelja]]-Twirling_Solo_Program28910111213141516171852535455565758606163656768[[#This Row],[J2 (-)]]</f>
        <v>0</v>
      </c>
      <c r="P3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Row],[Category]],Twirling_Solo_Program28910111213141516171852535455565758606163656768[J2 TOTAL],"&gt;"&amp;Twirling_Solo_Program28910111213141516171852535455565758606163656768[[#This Row],[J2 TOTAL]])+1</f>
        <v>1</v>
      </c>
      <c r="Q3" s="19"/>
      <c r="R3" s="20"/>
      <c r="S3" s="21">
        <f>Twirling_Solo_Program28910111213141516171852535455565758606163656768[[#This Row],[Judge 3
Barbara Novina]]-R3</f>
        <v>0</v>
      </c>
      <c r="T3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Row],[Category]],Twirling_Solo_Program28910111213141516171852535455565758606163656768[J3 TOTAL],"&gt;"&amp;Twirling_Solo_Program28910111213141516171852535455565758606163656768[[#This Row],[J3 TOTAL]])+1</f>
        <v>1</v>
      </c>
      <c r="U3" s="19">
        <v>20.9</v>
      </c>
      <c r="V3" s="20">
        <v>0.5</v>
      </c>
      <c r="W3" s="21">
        <f>Twirling_Solo_Program28910111213141516171852535455565758606163656768[[#This Row],[Judge 4
Bernard Barač]]-V3</f>
        <v>20.399999999999999</v>
      </c>
      <c r="X3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Row],[Category]],Twirling_Solo_Program28910111213141516171852535455565758606163656768[J4 TOTAL],"&gt;"&amp;Twirling_Solo_Program28910111213141516171852535455565758606163656768[[#This Row],[J4 TOTAL]])+1</f>
        <v>2</v>
      </c>
      <c r="Y3" s="23">
        <f>SUM(Twirling_Solo_Program28910111213141516171852535455565758606163656768[[#This Row],[J1 TOTAL]]+Twirling_Solo_Program28910111213141516171852535455565758606163656768[[#This Row],[J2 TOTAL]]+Twirling_Solo_Program28910111213141516171852535455565758606163656768[[#This Row],[J3 TOTAL]]+Twirling_Solo_Program28910111213141516171852535455565758606163656768[[#This Row],[J4 TOTAL]])</f>
        <v>40.700000000000003</v>
      </c>
      <c r="Z3" s="23"/>
      <c r="AA3" s="23"/>
      <c r="AB3" s="23">
        <f>SUM(Twirling_Solo_Program28910111213141516171852535455565758606163656768[[#This Row],[Total]]-Twirling_Solo_Program28910111213141516171852535455565758606163656768[[#This Row],[Low]]-Twirling_Solo_Program28910111213141516171852535455565758606163656768[[#This Row],[High]])</f>
        <v>40.700000000000003</v>
      </c>
      <c r="AC3" s="23">
        <f>AVERAGE(I3,M3,Q3,U3)</f>
        <v>20.85</v>
      </c>
      <c r="AD3" s="24">
        <f>Twirling_Solo_Program28910111213141516171852535455565758606163656768[[#This Row],[Final Total]]</f>
        <v>40.700000000000003</v>
      </c>
      <c r="AE3" s="25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Row],[Category]],Twirling_Solo_Program28910111213141516171852535455565758606163656768[FINAL SCORE],"&gt;"&amp;Twirling_Solo_Program28910111213141516171852535455565758606163656768[[#This Row],[FINAL SCORE]])+1</f>
        <v>2</v>
      </c>
      <c r="AF3" s="16" t="s">
        <v>35</v>
      </c>
    </row>
    <row r="4" spans="1:51" x14ac:dyDescent="0.3">
      <c r="A4" s="16">
        <v>58</v>
      </c>
      <c r="B4" s="17">
        <v>1</v>
      </c>
      <c r="C4" s="17" t="s">
        <v>101</v>
      </c>
      <c r="D4" s="17" t="s">
        <v>27</v>
      </c>
      <c r="E4" s="17" t="s">
        <v>60</v>
      </c>
      <c r="F4" s="17" t="s">
        <v>136</v>
      </c>
      <c r="G4" s="17" t="s">
        <v>52</v>
      </c>
      <c r="H4" s="18" t="s">
        <v>25</v>
      </c>
      <c r="I4" s="19">
        <v>19.899999999999999</v>
      </c>
      <c r="J4" s="20">
        <v>0</v>
      </c>
      <c r="K4" s="21">
        <f>Twirling_Solo_Program28910111213141516171852535455565758606163656768[[#This Row],[Judge 1
Tamara Beljak]]-J4</f>
        <v>19.899999999999999</v>
      </c>
      <c r="L4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Row],[Category]],Twirling_Solo_Program28910111213141516171852535455565758606163656768[J1 TOTAL],"&gt;"&amp;Twirling_Solo_Program28910111213141516171852535455565758606163656768[[#This Row],[J1 TOTAL]])+1</f>
        <v>3</v>
      </c>
      <c r="M4" s="19"/>
      <c r="N4" s="20"/>
      <c r="O4" s="21">
        <f>Twirling_Solo_Program28910111213141516171852535455565758606163656768[[#This Row],[Judge 2
Tihomir Bendelja]]-Twirling_Solo_Program28910111213141516171852535455565758606163656768[[#This Row],[J2 (-)]]</f>
        <v>0</v>
      </c>
      <c r="P4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Row],[Category]],Twirling_Solo_Program28910111213141516171852535455565758606163656768[J2 TOTAL],"&gt;"&amp;Twirling_Solo_Program28910111213141516171852535455565758606163656768[[#This Row],[J2 TOTAL]])+1</f>
        <v>1</v>
      </c>
      <c r="Q4" s="19"/>
      <c r="R4" s="20"/>
      <c r="S4" s="21">
        <f>Twirling_Solo_Program28910111213141516171852535455565758606163656768[[#This Row],[Judge 3
Barbara Novina]]-R4</f>
        <v>0</v>
      </c>
      <c r="T4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Row],[Category]],Twirling_Solo_Program28910111213141516171852535455565758606163656768[J3 TOTAL],"&gt;"&amp;Twirling_Solo_Program28910111213141516171852535455565758606163656768[[#This Row],[J3 TOTAL]])+1</f>
        <v>1</v>
      </c>
      <c r="U4" s="19">
        <v>20.399999999999999</v>
      </c>
      <c r="V4" s="20">
        <v>0</v>
      </c>
      <c r="W4" s="21">
        <f>Twirling_Solo_Program28910111213141516171852535455565758606163656768[[#This Row],[Judge 4
Bernard Barač]]-V4</f>
        <v>20.399999999999999</v>
      </c>
      <c r="X4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Row],[Category]],Twirling_Solo_Program28910111213141516171852535455565758606163656768[J4 TOTAL],"&gt;"&amp;Twirling_Solo_Program28910111213141516171852535455565758606163656768[[#This Row],[J4 TOTAL]])+1</f>
        <v>2</v>
      </c>
      <c r="Y4" s="23">
        <f>SUM(Twirling_Solo_Program28910111213141516171852535455565758606163656768[[#This Row],[J1 TOTAL]]+Twirling_Solo_Program28910111213141516171852535455565758606163656768[[#This Row],[J2 TOTAL]]+Twirling_Solo_Program28910111213141516171852535455565758606163656768[[#This Row],[J3 TOTAL]]+Twirling_Solo_Program28910111213141516171852535455565758606163656768[[#This Row],[J4 TOTAL]])</f>
        <v>40.299999999999997</v>
      </c>
      <c r="Z4" s="23"/>
      <c r="AA4" s="23"/>
      <c r="AB4" s="23">
        <f>SUM(Twirling_Solo_Program28910111213141516171852535455565758606163656768[[#This Row],[Total]]-Twirling_Solo_Program28910111213141516171852535455565758606163656768[[#This Row],[Low]]-Twirling_Solo_Program28910111213141516171852535455565758606163656768[[#This Row],[High]])</f>
        <v>40.299999999999997</v>
      </c>
      <c r="AC4" s="23">
        <f>AVERAGE(I4,M4,Q4,U4)</f>
        <v>20.149999999999999</v>
      </c>
      <c r="AD4" s="24">
        <f>Twirling_Solo_Program28910111213141516171852535455565758606163656768[[#This Row],[Final Total]]</f>
        <v>40.299999999999997</v>
      </c>
      <c r="AE4" s="25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Row],[Category]],Twirling_Solo_Program28910111213141516171852535455565758606163656768[FINAL SCORE],"&gt;"&amp;Twirling_Solo_Program28910111213141516171852535455565758606163656768[[#This Row],[FINAL SCORE]])+1</f>
        <v>3</v>
      </c>
      <c r="AF4" s="16" t="s">
        <v>35</v>
      </c>
    </row>
    <row r="5" spans="1:51" x14ac:dyDescent="0.3">
      <c r="A5" s="16">
        <v>54</v>
      </c>
      <c r="B5" s="17">
        <v>1</v>
      </c>
      <c r="C5" s="17" t="s">
        <v>101</v>
      </c>
      <c r="D5" s="17" t="s">
        <v>27</v>
      </c>
      <c r="E5" s="17" t="s">
        <v>60</v>
      </c>
      <c r="F5" s="17" t="s">
        <v>135</v>
      </c>
      <c r="G5" s="17" t="s">
        <v>73</v>
      </c>
      <c r="H5" s="18" t="s">
        <v>25</v>
      </c>
      <c r="I5" s="19">
        <v>21</v>
      </c>
      <c r="J5" s="20">
        <v>1.5</v>
      </c>
      <c r="K5" s="21">
        <f>Twirling_Solo_Program28910111213141516171852535455565758606163656768[[#This Row],[Judge 1
Tamara Beljak]]-J5</f>
        <v>19.5</v>
      </c>
      <c r="L5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Row],[Category]],Twirling_Solo_Program28910111213141516171852535455565758606163656768[J1 TOTAL],"&gt;"&amp;Twirling_Solo_Program28910111213141516171852535455565758606163656768[[#This Row],[J1 TOTAL]])+1</f>
        <v>4</v>
      </c>
      <c r="M5" s="19"/>
      <c r="N5" s="20"/>
      <c r="O5" s="21">
        <f>Twirling_Solo_Program28910111213141516171852535455565758606163656768[[#This Row],[Judge 2
Tihomir Bendelja]]-Twirling_Solo_Program28910111213141516171852535455565758606163656768[[#This Row],[J2 (-)]]</f>
        <v>0</v>
      </c>
      <c r="P5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Row],[Category]],Twirling_Solo_Program28910111213141516171852535455565758606163656768[J2 TOTAL],"&gt;"&amp;Twirling_Solo_Program28910111213141516171852535455565758606163656768[[#This Row],[J2 TOTAL]])+1</f>
        <v>1</v>
      </c>
      <c r="Q5" s="19"/>
      <c r="R5" s="20"/>
      <c r="S5" s="21">
        <f>Twirling_Solo_Program28910111213141516171852535455565758606163656768[[#This Row],[Judge 3
Barbara Novina]]-R5</f>
        <v>0</v>
      </c>
      <c r="T5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Row],[Category]],Twirling_Solo_Program28910111213141516171852535455565758606163656768[J3 TOTAL],"&gt;"&amp;Twirling_Solo_Program28910111213141516171852535455565758606163656768[[#This Row],[J3 TOTAL]])+1</f>
        <v>1</v>
      </c>
      <c r="U5" s="19">
        <v>21.4</v>
      </c>
      <c r="V5" s="20">
        <v>1.5</v>
      </c>
      <c r="W5" s="21">
        <f>Twirling_Solo_Program28910111213141516171852535455565758606163656768[[#This Row],[Judge 4
Bernard Barač]]-V5</f>
        <v>19.899999999999999</v>
      </c>
      <c r="X5" s="22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Row],[Category]],Twirling_Solo_Program28910111213141516171852535455565758606163656768[J4 TOTAL],"&gt;"&amp;Twirling_Solo_Program28910111213141516171852535455565758606163656768[[#This Row],[J4 TOTAL]])+1</f>
        <v>4</v>
      </c>
      <c r="Y5" s="23">
        <f>SUM(Twirling_Solo_Program28910111213141516171852535455565758606163656768[[#This Row],[J1 TOTAL]]+Twirling_Solo_Program28910111213141516171852535455565758606163656768[[#This Row],[J2 TOTAL]]+Twirling_Solo_Program28910111213141516171852535455565758606163656768[[#This Row],[J3 TOTAL]]+Twirling_Solo_Program28910111213141516171852535455565758606163656768[[#This Row],[J4 TOTAL]])</f>
        <v>39.4</v>
      </c>
      <c r="Z5" s="23"/>
      <c r="AA5" s="23"/>
      <c r="AB5" s="23">
        <f>SUM(Twirling_Solo_Program28910111213141516171852535455565758606163656768[[#This Row],[Total]]-Twirling_Solo_Program28910111213141516171852535455565758606163656768[[#This Row],[Low]]-Twirling_Solo_Program28910111213141516171852535455565758606163656768[[#This Row],[High]])</f>
        <v>39.4</v>
      </c>
      <c r="AC5" s="23">
        <f>AVERAGE(I5,M5,Q5,U5)</f>
        <v>21.2</v>
      </c>
      <c r="AD5" s="24">
        <f>Twirling_Solo_Program28910111213141516171852535455565758606163656768[[#This Row],[Final Total]]</f>
        <v>39.4</v>
      </c>
      <c r="AE5" s="25">
        <f>COUNTIFS(Twirling_Solo_Program28910111213141516171852535455565758606163656768[Age
Division],Twirling_Solo_Program28910111213141516171852535455565758606163656768[[#This Row],[Age
Division]],Twirling_Solo_Program28910111213141516171852535455565758606163656768[Category],Twirling_Solo_Program28910111213141516171852535455565758606163656768[[#This Row],[Category]],Twirling_Solo_Program28910111213141516171852535455565758606163656768[FINAL SCORE],"&gt;"&amp;Twirling_Solo_Program28910111213141516171852535455565758606163656768[[#This Row],[FINAL SCORE]])+1</f>
        <v>4</v>
      </c>
      <c r="AF5" s="16" t="s">
        <v>35</v>
      </c>
    </row>
  </sheetData>
  <sheetProtection algorithmName="SHA-512" hashValue="41jchIF+kNZ/rUO7Tguudw7+mBlK8P+GREjlqb4mUneHfO2fUYX64GtJfy2j6lKnSjgiyIx3JOmrw1WIne+9Wg==" saltValue="iXkXEK5TCKMxgIUgwpWa9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Y17"/>
  <sheetViews>
    <sheetView zoomScale="80" zoomScaleNormal="80" workbookViewId="0">
      <pane ySplit="1" topLeftCell="A2" activePane="bottomLeft" state="frozen"/>
      <selection pane="bottomLeft" activeCell="G13" sqref="G13"/>
    </sheetView>
  </sheetViews>
  <sheetFormatPr defaultColWidth="9.140625" defaultRowHeight="16.5" x14ac:dyDescent="0.3"/>
  <cols>
    <col min="1" max="2" width="5.85546875" style="27" customWidth="1"/>
    <col min="3" max="3" width="13.7109375" style="27" customWidth="1"/>
    <col min="4" max="4" width="9.28515625" style="28" customWidth="1"/>
    <col min="5" max="5" width="11.85546875" style="28" customWidth="1"/>
    <col min="6" max="6" width="15.7109375" style="18" customWidth="1"/>
    <col min="7" max="7" width="44.140625" style="18" customWidth="1"/>
    <col min="8" max="8" width="14" style="18" customWidth="1"/>
    <col min="9" max="12" width="9.140625" style="18" hidden="1" customWidth="1"/>
    <col min="13" max="13" width="9.140625" style="18" customWidth="1"/>
    <col min="14" max="14" width="9.28515625" style="18" customWidth="1"/>
    <col min="15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51</v>
      </c>
      <c r="B2" s="17">
        <v>2</v>
      </c>
      <c r="C2" s="17" t="s">
        <v>101</v>
      </c>
      <c r="D2" s="17" t="s">
        <v>27</v>
      </c>
      <c r="E2" s="17" t="s">
        <v>50</v>
      </c>
      <c r="F2" s="17" t="s">
        <v>81</v>
      </c>
      <c r="G2" s="17" t="s">
        <v>58</v>
      </c>
      <c r="H2" s="18" t="s">
        <v>25</v>
      </c>
      <c r="I2" s="19"/>
      <c r="J2" s="20"/>
      <c r="K2" s="21">
        <f>Twirling_Solo_Program2891011121314151617185253545556575860616365676869[[#This Row],[Judge 1
Tamara Beljak]]-J2</f>
        <v>0</v>
      </c>
      <c r="L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2" s="19">
        <v>24.8</v>
      </c>
      <c r="N2" s="20">
        <v>0.5</v>
      </c>
      <c r="O2" s="21">
        <f>Twirling_Solo_Program2891011121314151617185253545556575860616365676869[[#This Row],[Judge 2
Tihomir Bendelja]]-Twirling_Solo_Program2891011121314151617185253545556575860616365676869[[#This Row],[J2 (-)]]</f>
        <v>24.3</v>
      </c>
      <c r="P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</v>
      </c>
      <c r="Q2" s="19">
        <v>23.7</v>
      </c>
      <c r="R2" s="20">
        <v>0.5</v>
      </c>
      <c r="S2" s="21">
        <f>Twirling_Solo_Program2891011121314151617185253545556575860616365676869[[#This Row],[Judge 3
Barbara Novina]]-R2</f>
        <v>23.2</v>
      </c>
      <c r="T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</v>
      </c>
      <c r="U2" s="19"/>
      <c r="V2" s="20"/>
      <c r="W2" s="21">
        <f>Twirling_Solo_Program2891011121314151617185253545556575860616365676869[[#This Row],[Judge 4
Bernard Barač]]-V2</f>
        <v>0</v>
      </c>
      <c r="X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2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47.5</v>
      </c>
      <c r="Z2" s="23"/>
      <c r="AA2" s="23"/>
      <c r="AB2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47.5</v>
      </c>
      <c r="AC2" s="23">
        <f t="shared" ref="AC2:AC17" si="0">AVERAGE(I2,M2,Q2,U2)</f>
        <v>24.25</v>
      </c>
      <c r="AD2" s="24">
        <f>Twirling_Solo_Program2891011121314151617185253545556575860616365676869[[#This Row],[Final Total]]</f>
        <v>47.5</v>
      </c>
      <c r="AE2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</v>
      </c>
      <c r="AF2" s="16" t="s">
        <v>35</v>
      </c>
    </row>
    <row r="3" spans="1:51" x14ac:dyDescent="0.3">
      <c r="A3" s="16">
        <v>67</v>
      </c>
      <c r="B3" s="17">
        <v>2</v>
      </c>
      <c r="C3" s="17" t="s">
        <v>101</v>
      </c>
      <c r="D3" s="17" t="s">
        <v>27</v>
      </c>
      <c r="E3" s="17" t="s">
        <v>50</v>
      </c>
      <c r="F3" s="17" t="s">
        <v>144</v>
      </c>
      <c r="G3" s="17" t="s">
        <v>134</v>
      </c>
      <c r="H3" s="18" t="s">
        <v>25</v>
      </c>
      <c r="I3" s="19"/>
      <c r="J3" s="20"/>
      <c r="K3" s="21">
        <f>Twirling_Solo_Program2891011121314151617185253545556575860616365676869[[#This Row],[Judge 1
Tamara Beljak]]-J3</f>
        <v>0</v>
      </c>
      <c r="L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3" s="19">
        <v>22.2</v>
      </c>
      <c r="N3" s="20">
        <v>0</v>
      </c>
      <c r="O3" s="21">
        <f>Twirling_Solo_Program2891011121314151617185253545556575860616365676869[[#This Row],[Judge 2
Tihomir Bendelja]]-Twirling_Solo_Program2891011121314151617185253545556575860616365676869[[#This Row],[J2 (-)]]</f>
        <v>22.2</v>
      </c>
      <c r="P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3</v>
      </c>
      <c r="Q3" s="19">
        <v>22.3</v>
      </c>
      <c r="R3" s="20">
        <v>0</v>
      </c>
      <c r="S3" s="21">
        <f>Twirling_Solo_Program2891011121314151617185253545556575860616365676869[[#This Row],[Judge 3
Barbara Novina]]-R3</f>
        <v>22.3</v>
      </c>
      <c r="T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3</v>
      </c>
      <c r="U3" s="19"/>
      <c r="V3" s="20"/>
      <c r="W3" s="21">
        <f>Twirling_Solo_Program2891011121314151617185253545556575860616365676869[[#This Row],[Judge 4
Bernard Barač]]-V3</f>
        <v>0</v>
      </c>
      <c r="X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3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44.5</v>
      </c>
      <c r="Z3" s="23"/>
      <c r="AA3" s="23"/>
      <c r="AB3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44.5</v>
      </c>
      <c r="AC3" s="23">
        <f t="shared" si="0"/>
        <v>22.25</v>
      </c>
      <c r="AD3" s="24">
        <f>Twirling_Solo_Program2891011121314151617185253545556575860616365676869[[#This Row],[Final Total]]</f>
        <v>44.5</v>
      </c>
      <c r="AE3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2</v>
      </c>
      <c r="AF3" s="16" t="s">
        <v>35</v>
      </c>
    </row>
    <row r="4" spans="1:51" x14ac:dyDescent="0.3">
      <c r="A4" s="16">
        <v>45</v>
      </c>
      <c r="B4" s="17">
        <v>2</v>
      </c>
      <c r="C4" s="17" t="s">
        <v>101</v>
      </c>
      <c r="D4" s="17" t="s">
        <v>27</v>
      </c>
      <c r="E4" s="17" t="s">
        <v>50</v>
      </c>
      <c r="F4" s="17" t="s">
        <v>77</v>
      </c>
      <c r="G4" s="17" t="s">
        <v>58</v>
      </c>
      <c r="H4" s="18" t="s">
        <v>25</v>
      </c>
      <c r="I4" s="19"/>
      <c r="J4" s="20"/>
      <c r="K4" s="21">
        <f>Twirling_Solo_Program2891011121314151617185253545556575860616365676869[[#This Row],[Judge 1
Tamara Beljak]]-J4</f>
        <v>0</v>
      </c>
      <c r="L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4" s="19">
        <v>22.4</v>
      </c>
      <c r="N4" s="20">
        <v>0</v>
      </c>
      <c r="O4" s="21">
        <f>Twirling_Solo_Program2891011121314151617185253545556575860616365676869[[#This Row],[Judge 2
Tihomir Bendelja]]-Twirling_Solo_Program2891011121314151617185253545556575860616365676869[[#This Row],[J2 (-)]]</f>
        <v>22.4</v>
      </c>
      <c r="P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2</v>
      </c>
      <c r="Q4" s="19">
        <v>21.5</v>
      </c>
      <c r="R4" s="20">
        <v>0</v>
      </c>
      <c r="S4" s="21">
        <f>Twirling_Solo_Program2891011121314151617185253545556575860616365676869[[#This Row],[Judge 3
Barbara Novina]]-R4</f>
        <v>21.5</v>
      </c>
      <c r="T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4</v>
      </c>
      <c r="U4" s="19"/>
      <c r="V4" s="20"/>
      <c r="W4" s="21">
        <f>Twirling_Solo_Program2891011121314151617185253545556575860616365676869[[#This Row],[Judge 4
Bernard Barač]]-V4</f>
        <v>0</v>
      </c>
      <c r="X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4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43.9</v>
      </c>
      <c r="Z4" s="23"/>
      <c r="AA4" s="23"/>
      <c r="AB4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43.9</v>
      </c>
      <c r="AC4" s="23">
        <f t="shared" si="0"/>
        <v>21.95</v>
      </c>
      <c r="AD4" s="24">
        <f>Twirling_Solo_Program2891011121314151617185253545556575860616365676869[[#This Row],[Final Total]]</f>
        <v>43.9</v>
      </c>
      <c r="AE4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3</v>
      </c>
      <c r="AF4" s="16" t="s">
        <v>35</v>
      </c>
    </row>
    <row r="5" spans="1:51" x14ac:dyDescent="0.3">
      <c r="A5" s="16">
        <v>57</v>
      </c>
      <c r="B5" s="17">
        <v>2</v>
      </c>
      <c r="C5" s="17" t="s">
        <v>101</v>
      </c>
      <c r="D5" s="17" t="s">
        <v>27</v>
      </c>
      <c r="E5" s="17" t="s">
        <v>50</v>
      </c>
      <c r="F5" s="17" t="s">
        <v>83</v>
      </c>
      <c r="G5" s="17" t="s">
        <v>58</v>
      </c>
      <c r="H5" s="18" t="s">
        <v>25</v>
      </c>
      <c r="I5" s="19"/>
      <c r="J5" s="20"/>
      <c r="K5" s="21">
        <f>Twirling_Solo_Program2891011121314151617185253545556575860616365676869[[#This Row],[Judge 1
Tamara Beljak]]-J5</f>
        <v>0</v>
      </c>
      <c r="L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5" s="19">
        <v>20.5</v>
      </c>
      <c r="N5" s="20">
        <v>0</v>
      </c>
      <c r="O5" s="21">
        <f>Twirling_Solo_Program2891011121314151617185253545556575860616365676869[[#This Row],[Judge 2
Tihomir Bendelja]]-Twirling_Solo_Program2891011121314151617185253545556575860616365676869[[#This Row],[J2 (-)]]</f>
        <v>20.5</v>
      </c>
      <c r="P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5</v>
      </c>
      <c r="Q5" s="19">
        <v>22.5</v>
      </c>
      <c r="R5" s="20">
        <v>0</v>
      </c>
      <c r="S5" s="21">
        <f>Twirling_Solo_Program2891011121314151617185253545556575860616365676869[[#This Row],[Judge 3
Barbara Novina]]-R5</f>
        <v>22.5</v>
      </c>
      <c r="T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2</v>
      </c>
      <c r="U5" s="19"/>
      <c r="V5" s="20"/>
      <c r="W5" s="21">
        <f>Twirling_Solo_Program2891011121314151617185253545556575860616365676869[[#This Row],[Judge 4
Bernard Barač]]-V5</f>
        <v>0</v>
      </c>
      <c r="X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5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43</v>
      </c>
      <c r="Z5" s="23"/>
      <c r="AA5" s="23"/>
      <c r="AB5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43</v>
      </c>
      <c r="AC5" s="23">
        <f t="shared" si="0"/>
        <v>21.5</v>
      </c>
      <c r="AD5" s="24">
        <f>Twirling_Solo_Program2891011121314151617185253545556575860616365676869[[#This Row],[Final Total]]</f>
        <v>43</v>
      </c>
      <c r="AE5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4</v>
      </c>
      <c r="AF5" s="16" t="s">
        <v>35</v>
      </c>
    </row>
    <row r="6" spans="1:51" x14ac:dyDescent="0.3">
      <c r="A6" s="16">
        <v>61</v>
      </c>
      <c r="B6" s="17">
        <v>2</v>
      </c>
      <c r="C6" s="17" t="s">
        <v>101</v>
      </c>
      <c r="D6" s="17" t="s">
        <v>27</v>
      </c>
      <c r="E6" s="17" t="s">
        <v>50</v>
      </c>
      <c r="F6" s="17" t="s">
        <v>80</v>
      </c>
      <c r="G6" s="17" t="s">
        <v>56</v>
      </c>
      <c r="H6" s="18" t="s">
        <v>25</v>
      </c>
      <c r="I6" s="19"/>
      <c r="J6" s="20"/>
      <c r="K6" s="21">
        <f>Twirling_Solo_Program2891011121314151617185253545556575860616365676869[[#This Row],[Judge 1
Tamara Beljak]]-J6</f>
        <v>0</v>
      </c>
      <c r="L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6" s="19">
        <v>22.6</v>
      </c>
      <c r="N6" s="20">
        <v>1</v>
      </c>
      <c r="O6" s="21">
        <f>Twirling_Solo_Program2891011121314151617185253545556575860616365676869[[#This Row],[Judge 2
Tihomir Bendelja]]-Twirling_Solo_Program2891011121314151617185253545556575860616365676869[[#This Row],[J2 (-)]]</f>
        <v>21.6</v>
      </c>
      <c r="P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4</v>
      </c>
      <c r="Q6" s="19">
        <v>22.1</v>
      </c>
      <c r="R6" s="20">
        <v>1.5</v>
      </c>
      <c r="S6" s="21">
        <f>Twirling_Solo_Program2891011121314151617185253545556575860616365676869[[#This Row],[Judge 3
Barbara Novina]]-R6</f>
        <v>20.6</v>
      </c>
      <c r="T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5</v>
      </c>
      <c r="U6" s="19"/>
      <c r="V6" s="20"/>
      <c r="W6" s="21">
        <f>Twirling_Solo_Program2891011121314151617185253545556575860616365676869[[#This Row],[Judge 4
Bernard Barač]]-V6</f>
        <v>0</v>
      </c>
      <c r="X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6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42.2</v>
      </c>
      <c r="Z6" s="23"/>
      <c r="AA6" s="23"/>
      <c r="AB6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42.2</v>
      </c>
      <c r="AC6" s="23">
        <f t="shared" si="0"/>
        <v>22.35</v>
      </c>
      <c r="AD6" s="24">
        <f>Twirling_Solo_Program2891011121314151617185253545556575860616365676869[[#This Row],[Final Total]]</f>
        <v>42.2</v>
      </c>
      <c r="AE6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5</v>
      </c>
      <c r="AF6" s="16" t="s">
        <v>35</v>
      </c>
    </row>
    <row r="7" spans="1:51" x14ac:dyDescent="0.3">
      <c r="A7" s="16">
        <v>49</v>
      </c>
      <c r="B7" s="17">
        <v>2</v>
      </c>
      <c r="C7" s="17" t="s">
        <v>101</v>
      </c>
      <c r="D7" s="17" t="s">
        <v>27</v>
      </c>
      <c r="E7" s="17" t="s">
        <v>50</v>
      </c>
      <c r="F7" s="17" t="s">
        <v>76</v>
      </c>
      <c r="G7" s="17" t="s">
        <v>73</v>
      </c>
      <c r="H7" s="18" t="s">
        <v>25</v>
      </c>
      <c r="I7" s="19"/>
      <c r="J7" s="20"/>
      <c r="K7" s="21">
        <f>Twirling_Solo_Program2891011121314151617185253545556575860616365676869[[#This Row],[Judge 1
Tamara Beljak]]-J7</f>
        <v>0</v>
      </c>
      <c r="L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7" s="19">
        <v>20.100000000000001</v>
      </c>
      <c r="N7" s="20">
        <v>0.5</v>
      </c>
      <c r="O7" s="21">
        <f>Twirling_Solo_Program2891011121314151617185253545556575860616365676869[[#This Row],[Judge 2
Tihomir Bendelja]]-Twirling_Solo_Program2891011121314151617185253545556575860616365676869[[#This Row],[J2 (-)]]</f>
        <v>19.600000000000001</v>
      </c>
      <c r="P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6</v>
      </c>
      <c r="Q7" s="19">
        <v>19.7</v>
      </c>
      <c r="R7" s="20">
        <v>0.5</v>
      </c>
      <c r="S7" s="21">
        <f>Twirling_Solo_Program2891011121314151617185253545556575860616365676869[[#This Row],[Judge 3
Barbara Novina]]-R7</f>
        <v>19.2</v>
      </c>
      <c r="T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6</v>
      </c>
      <c r="U7" s="19"/>
      <c r="V7" s="20"/>
      <c r="W7" s="21">
        <f>Twirling_Solo_Program2891011121314151617185253545556575860616365676869[[#This Row],[Judge 4
Bernard Barač]]-V7</f>
        <v>0</v>
      </c>
      <c r="X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7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38.799999999999997</v>
      </c>
      <c r="Z7" s="23"/>
      <c r="AA7" s="23"/>
      <c r="AB7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38.799999999999997</v>
      </c>
      <c r="AC7" s="23">
        <f t="shared" si="0"/>
        <v>19.899999999999999</v>
      </c>
      <c r="AD7" s="24">
        <f>Twirling_Solo_Program2891011121314151617185253545556575860616365676869[[#This Row],[Final Total]]</f>
        <v>38.799999999999997</v>
      </c>
      <c r="AE7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6</v>
      </c>
      <c r="AF7" s="16" t="s">
        <v>35</v>
      </c>
    </row>
    <row r="8" spans="1:51" x14ac:dyDescent="0.3">
      <c r="A8" s="16">
        <v>55</v>
      </c>
      <c r="B8" s="17">
        <v>2</v>
      </c>
      <c r="C8" s="17" t="s">
        <v>101</v>
      </c>
      <c r="D8" s="17" t="s">
        <v>27</v>
      </c>
      <c r="E8" s="17" t="s">
        <v>50</v>
      </c>
      <c r="F8" s="17" t="s">
        <v>140</v>
      </c>
      <c r="G8" s="17" t="s">
        <v>120</v>
      </c>
      <c r="H8" s="18" t="s">
        <v>28</v>
      </c>
      <c r="I8" s="19"/>
      <c r="J8" s="20"/>
      <c r="K8" s="21">
        <f>Twirling_Solo_Program2891011121314151617185253545556575860616365676869[[#This Row],[Judge 1
Tamara Beljak]]-J8</f>
        <v>0</v>
      </c>
      <c r="L8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8" s="19">
        <v>19.2</v>
      </c>
      <c r="N8" s="20">
        <v>0</v>
      </c>
      <c r="O8" s="21">
        <f>Twirling_Solo_Program2891011121314151617185253545556575860616365676869[[#This Row],[Judge 2
Tihomir Bendelja]]-Twirling_Solo_Program2891011121314151617185253545556575860616365676869[[#This Row],[J2 (-)]]</f>
        <v>19.2</v>
      </c>
      <c r="P8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7</v>
      </c>
      <c r="Q8" s="19">
        <v>16.8</v>
      </c>
      <c r="R8" s="20">
        <v>0</v>
      </c>
      <c r="S8" s="21">
        <f>Twirling_Solo_Program2891011121314151617185253545556575860616365676869[[#This Row],[Judge 3
Barbara Novina]]-R8</f>
        <v>16.8</v>
      </c>
      <c r="T8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8</v>
      </c>
      <c r="U8" s="19"/>
      <c r="V8" s="20"/>
      <c r="W8" s="21">
        <f>Twirling_Solo_Program2891011121314151617185253545556575860616365676869[[#This Row],[Judge 4
Bernard Barač]]-V8</f>
        <v>0</v>
      </c>
      <c r="X8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8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36</v>
      </c>
      <c r="Z8" s="23"/>
      <c r="AA8" s="23"/>
      <c r="AB8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36</v>
      </c>
      <c r="AC8" s="23">
        <f t="shared" si="0"/>
        <v>18</v>
      </c>
      <c r="AD8" s="24">
        <f>Twirling_Solo_Program2891011121314151617185253545556575860616365676869[[#This Row],[Final Total]]</f>
        <v>36</v>
      </c>
      <c r="AE8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7</v>
      </c>
      <c r="AF8" s="16" t="s">
        <v>35</v>
      </c>
    </row>
    <row r="9" spans="1:51" x14ac:dyDescent="0.3">
      <c r="A9" s="16">
        <v>53</v>
      </c>
      <c r="B9" s="17">
        <v>2</v>
      </c>
      <c r="C9" s="17" t="s">
        <v>101</v>
      </c>
      <c r="D9" s="17" t="s">
        <v>27</v>
      </c>
      <c r="E9" s="17" t="s">
        <v>50</v>
      </c>
      <c r="F9" s="17" t="s">
        <v>82</v>
      </c>
      <c r="G9" s="17" t="s">
        <v>52</v>
      </c>
      <c r="H9" s="18" t="s">
        <v>25</v>
      </c>
      <c r="I9" s="19"/>
      <c r="J9" s="20"/>
      <c r="K9" s="21">
        <f>Twirling_Solo_Program2891011121314151617185253545556575860616365676869[[#This Row],[Judge 1
Tamara Beljak]]-J9</f>
        <v>0</v>
      </c>
      <c r="L9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9" s="19">
        <v>20.6</v>
      </c>
      <c r="N9" s="20">
        <v>2.5</v>
      </c>
      <c r="O9" s="21">
        <f>Twirling_Solo_Program2891011121314151617185253545556575860616365676869[[#This Row],[Judge 2
Tihomir Bendelja]]-Twirling_Solo_Program2891011121314151617185253545556575860616365676869[[#This Row],[J2 (-)]]</f>
        <v>18.100000000000001</v>
      </c>
      <c r="P9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8</v>
      </c>
      <c r="Q9" s="19">
        <v>19.600000000000001</v>
      </c>
      <c r="R9" s="20">
        <v>2.5</v>
      </c>
      <c r="S9" s="21">
        <f>Twirling_Solo_Program2891011121314151617185253545556575860616365676869[[#This Row],[Judge 3
Barbara Novina]]-R9</f>
        <v>17.100000000000001</v>
      </c>
      <c r="T9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7</v>
      </c>
      <c r="U9" s="19"/>
      <c r="V9" s="20"/>
      <c r="W9" s="21">
        <f>Twirling_Solo_Program2891011121314151617185253545556575860616365676869[[#This Row],[Judge 4
Bernard Barač]]-V9</f>
        <v>0</v>
      </c>
      <c r="X9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9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35.200000000000003</v>
      </c>
      <c r="Z9" s="23"/>
      <c r="AA9" s="23"/>
      <c r="AB9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35.200000000000003</v>
      </c>
      <c r="AC9" s="23">
        <f t="shared" si="0"/>
        <v>20.100000000000001</v>
      </c>
      <c r="AD9" s="24">
        <f>Twirling_Solo_Program2891011121314151617185253545556575860616365676869[[#This Row],[Final Total]]</f>
        <v>35.200000000000003</v>
      </c>
      <c r="AE9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8</v>
      </c>
      <c r="AF9" s="16" t="s">
        <v>35</v>
      </c>
    </row>
    <row r="10" spans="1:51" x14ac:dyDescent="0.3">
      <c r="A10" s="16">
        <v>71</v>
      </c>
      <c r="B10" s="17">
        <v>2</v>
      </c>
      <c r="C10" s="17" t="s">
        <v>101</v>
      </c>
      <c r="D10" s="17" t="s">
        <v>27</v>
      </c>
      <c r="E10" s="17" t="s">
        <v>50</v>
      </c>
      <c r="F10" s="17" t="s">
        <v>39</v>
      </c>
      <c r="G10" s="17" t="s">
        <v>33</v>
      </c>
      <c r="H10" s="18" t="s">
        <v>28</v>
      </c>
      <c r="I10" s="19"/>
      <c r="J10" s="20"/>
      <c r="K10" s="21">
        <f>Twirling_Solo_Program2891011121314151617185253545556575860616365676869[[#This Row],[Judge 1
Tamara Beljak]]-J10</f>
        <v>0</v>
      </c>
      <c r="L10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0" s="19">
        <v>18.100000000000001</v>
      </c>
      <c r="N10" s="20">
        <v>2</v>
      </c>
      <c r="O10" s="21">
        <f>Twirling_Solo_Program2891011121314151617185253545556575860616365676869[[#This Row],[Judge 2
Tihomir Bendelja]]-Twirling_Solo_Program2891011121314151617185253545556575860616365676869[[#This Row],[J2 (-)]]</f>
        <v>16.100000000000001</v>
      </c>
      <c r="P10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9</v>
      </c>
      <c r="Q10" s="19">
        <v>16.5</v>
      </c>
      <c r="R10" s="20">
        <v>2</v>
      </c>
      <c r="S10" s="21">
        <f>Twirling_Solo_Program2891011121314151617185253545556575860616365676869[[#This Row],[Judge 3
Barbara Novina]]-R10</f>
        <v>14.5</v>
      </c>
      <c r="T10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9</v>
      </c>
      <c r="U10" s="19"/>
      <c r="V10" s="20"/>
      <c r="W10" s="21">
        <f>Twirling_Solo_Program2891011121314151617185253545556575860616365676869[[#This Row],[Judge 4
Bernard Barač]]-V10</f>
        <v>0</v>
      </c>
      <c r="X10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0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30.6</v>
      </c>
      <c r="Z10" s="23"/>
      <c r="AA10" s="23"/>
      <c r="AB10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30.6</v>
      </c>
      <c r="AC10" s="23">
        <f t="shared" si="0"/>
        <v>17.3</v>
      </c>
      <c r="AD10" s="24">
        <f>Twirling_Solo_Program2891011121314151617185253545556575860616365676869[[#This Row],[Final Total]]</f>
        <v>30.6</v>
      </c>
      <c r="AE10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9</v>
      </c>
      <c r="AF10" s="16" t="s">
        <v>35</v>
      </c>
    </row>
    <row r="11" spans="1:51" x14ac:dyDescent="0.3">
      <c r="A11" s="16">
        <v>73</v>
      </c>
      <c r="B11" s="17">
        <v>2</v>
      </c>
      <c r="C11" s="17" t="s">
        <v>101</v>
      </c>
      <c r="D11" s="17" t="s">
        <v>27</v>
      </c>
      <c r="E11" s="17" t="s">
        <v>50</v>
      </c>
      <c r="F11" s="17" t="s">
        <v>147</v>
      </c>
      <c r="G11" s="17" t="s">
        <v>106</v>
      </c>
      <c r="H11" s="18" t="s">
        <v>25</v>
      </c>
      <c r="I11" s="19"/>
      <c r="J11" s="20"/>
      <c r="K11" s="21">
        <f>Twirling_Solo_Program2891011121314151617185253545556575860616365676869[[#This Row],[Judge 1
Tamara Beljak]]-J11</f>
        <v>0</v>
      </c>
      <c r="L11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1" s="19">
        <v>17</v>
      </c>
      <c r="N11" s="20">
        <v>3</v>
      </c>
      <c r="O11" s="21">
        <f>Twirling_Solo_Program2891011121314151617185253545556575860616365676869[[#This Row],[Judge 2
Tihomir Bendelja]]-Twirling_Solo_Program2891011121314151617185253545556575860616365676869[[#This Row],[J2 (-)]]</f>
        <v>14</v>
      </c>
      <c r="P11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10</v>
      </c>
      <c r="Q11" s="19">
        <v>15.9</v>
      </c>
      <c r="R11" s="20">
        <v>3</v>
      </c>
      <c r="S11" s="21">
        <f>Twirling_Solo_Program2891011121314151617185253545556575860616365676869[[#This Row],[Judge 3
Barbara Novina]]-R11</f>
        <v>12.9</v>
      </c>
      <c r="T11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10</v>
      </c>
      <c r="U11" s="19"/>
      <c r="V11" s="20"/>
      <c r="W11" s="21">
        <f>Twirling_Solo_Program2891011121314151617185253545556575860616365676869[[#This Row],[Judge 4
Bernard Barač]]-V11</f>
        <v>0</v>
      </c>
      <c r="X11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1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26.9</v>
      </c>
      <c r="Z11" s="23"/>
      <c r="AA11" s="23"/>
      <c r="AB11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26.9</v>
      </c>
      <c r="AC11" s="23">
        <f t="shared" si="0"/>
        <v>16.45</v>
      </c>
      <c r="AD11" s="24">
        <f>Twirling_Solo_Program2891011121314151617185253545556575860616365676869[[#This Row],[Final Total]]</f>
        <v>26.9</v>
      </c>
      <c r="AE11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10</v>
      </c>
      <c r="AF11" s="16" t="s">
        <v>35</v>
      </c>
    </row>
    <row r="12" spans="1:51" x14ac:dyDescent="0.3">
      <c r="A12" s="16">
        <v>43</v>
      </c>
      <c r="B12" s="17">
        <v>2</v>
      </c>
      <c r="C12" s="17" t="s">
        <v>101</v>
      </c>
      <c r="D12" s="17" t="s">
        <v>27</v>
      </c>
      <c r="E12" s="17" t="s">
        <v>50</v>
      </c>
      <c r="F12" s="17" t="s">
        <v>138</v>
      </c>
      <c r="G12" s="17" t="s">
        <v>79</v>
      </c>
      <c r="H12" s="18" t="s">
        <v>25</v>
      </c>
      <c r="I12" s="19"/>
      <c r="J12" s="20"/>
      <c r="K12" s="21">
        <f>Twirling_Solo_Program2891011121314151617185253545556575860616365676869[[#This Row],[Judge 1
Tamara Beljak]]-J12</f>
        <v>0</v>
      </c>
      <c r="L1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2" s="19">
        <v>11</v>
      </c>
      <c r="N12" s="20">
        <v>0.5</v>
      </c>
      <c r="O12" s="21">
        <f>Twirling_Solo_Program2891011121314151617185253545556575860616365676869[[#This Row],[Judge 2
Tihomir Bendelja]]-Twirling_Solo_Program2891011121314151617185253545556575860616365676869[[#This Row],[J2 (-)]]</f>
        <v>10.5</v>
      </c>
      <c r="P1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11</v>
      </c>
      <c r="Q12" s="19">
        <v>10.199999999999999</v>
      </c>
      <c r="R12" s="20">
        <v>0.5</v>
      </c>
      <c r="S12" s="21">
        <f>Twirling_Solo_Program2891011121314151617185253545556575860616365676869[[#This Row],[Judge 3
Barbara Novina]]-R12</f>
        <v>9.6999999999999993</v>
      </c>
      <c r="T1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14</v>
      </c>
      <c r="U12" s="19"/>
      <c r="V12" s="20"/>
      <c r="W12" s="21">
        <f>Twirling_Solo_Program2891011121314151617185253545556575860616365676869[[#This Row],[Judge 4
Bernard Barač]]-V12</f>
        <v>0</v>
      </c>
      <c r="X12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2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20.2</v>
      </c>
      <c r="Z12" s="23"/>
      <c r="AA12" s="23"/>
      <c r="AB12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20.2</v>
      </c>
      <c r="AC12" s="23">
        <f t="shared" si="0"/>
        <v>10.6</v>
      </c>
      <c r="AD12" s="24">
        <f>Twirling_Solo_Program2891011121314151617185253545556575860616365676869[[#This Row],[Final Total]]</f>
        <v>20.2</v>
      </c>
      <c r="AE12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11</v>
      </c>
      <c r="AF12" s="16" t="s">
        <v>35</v>
      </c>
    </row>
    <row r="13" spans="1:51" x14ac:dyDescent="0.3">
      <c r="A13" s="16">
        <v>59</v>
      </c>
      <c r="B13" s="17">
        <v>2</v>
      </c>
      <c r="C13" s="17" t="s">
        <v>101</v>
      </c>
      <c r="D13" s="17" t="s">
        <v>27</v>
      </c>
      <c r="E13" s="17" t="s">
        <v>50</v>
      </c>
      <c r="F13" s="17" t="s">
        <v>141</v>
      </c>
      <c r="G13" s="17" t="s">
        <v>79</v>
      </c>
      <c r="H13" s="18" t="s">
        <v>25</v>
      </c>
      <c r="I13" s="19"/>
      <c r="J13" s="20"/>
      <c r="K13" s="21">
        <f>Twirling_Solo_Program2891011121314151617185253545556575860616365676869[[#This Row],[Judge 1
Tamara Beljak]]-J13</f>
        <v>0</v>
      </c>
      <c r="L1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3" s="19">
        <v>10.4</v>
      </c>
      <c r="N13" s="20">
        <v>1</v>
      </c>
      <c r="O13" s="21">
        <f>Twirling_Solo_Program2891011121314151617185253545556575860616365676869[[#This Row],[Judge 2
Tihomir Bendelja]]-Twirling_Solo_Program2891011121314151617185253545556575860616365676869[[#This Row],[J2 (-)]]</f>
        <v>9.4</v>
      </c>
      <c r="P1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12</v>
      </c>
      <c r="Q13" s="19">
        <v>11.6</v>
      </c>
      <c r="R13" s="20">
        <v>1.5</v>
      </c>
      <c r="S13" s="21">
        <f>Twirling_Solo_Program2891011121314151617185253545556575860616365676869[[#This Row],[Judge 3
Barbara Novina]]-R13</f>
        <v>10.1</v>
      </c>
      <c r="T1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11</v>
      </c>
      <c r="U13" s="19"/>
      <c r="V13" s="20"/>
      <c r="W13" s="21">
        <f>Twirling_Solo_Program2891011121314151617185253545556575860616365676869[[#This Row],[Judge 4
Bernard Barač]]-V13</f>
        <v>0</v>
      </c>
      <c r="X13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3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19.5</v>
      </c>
      <c r="Z13" s="23"/>
      <c r="AA13" s="23"/>
      <c r="AB13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19.5</v>
      </c>
      <c r="AC13" s="23">
        <f t="shared" si="0"/>
        <v>11</v>
      </c>
      <c r="AD13" s="24">
        <f>Twirling_Solo_Program2891011121314151617185253545556575860616365676869[[#This Row],[Final Total]]</f>
        <v>19.5</v>
      </c>
      <c r="AE13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12</v>
      </c>
      <c r="AF13" s="16" t="s">
        <v>35</v>
      </c>
    </row>
    <row r="14" spans="1:51" x14ac:dyDescent="0.3">
      <c r="A14" s="16">
        <v>47</v>
      </c>
      <c r="B14" s="17">
        <v>2</v>
      </c>
      <c r="C14" s="17" t="s">
        <v>101</v>
      </c>
      <c r="D14" s="17" t="s">
        <v>27</v>
      </c>
      <c r="E14" s="17" t="s">
        <v>50</v>
      </c>
      <c r="F14" s="17" t="s">
        <v>139</v>
      </c>
      <c r="G14" s="17" t="s">
        <v>32</v>
      </c>
      <c r="H14" s="18" t="s">
        <v>25</v>
      </c>
      <c r="I14" s="19"/>
      <c r="J14" s="20"/>
      <c r="K14" s="21">
        <f>Twirling_Solo_Program2891011121314151617185253545556575860616365676869[[#This Row],[Judge 1
Tamara Beljak]]-J14</f>
        <v>0</v>
      </c>
      <c r="L1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4" s="19">
        <v>9.9</v>
      </c>
      <c r="N14" s="20">
        <v>0.5</v>
      </c>
      <c r="O14" s="21">
        <f>Twirling_Solo_Program2891011121314151617185253545556575860616365676869[[#This Row],[Judge 2
Tihomir Bendelja]]-Twirling_Solo_Program2891011121314151617185253545556575860616365676869[[#This Row],[J2 (-)]]</f>
        <v>9.4</v>
      </c>
      <c r="P1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12</v>
      </c>
      <c r="Q14" s="19">
        <v>10.6</v>
      </c>
      <c r="R14" s="20">
        <v>0.5</v>
      </c>
      <c r="S14" s="21">
        <f>Twirling_Solo_Program2891011121314151617185253545556575860616365676869[[#This Row],[Judge 3
Barbara Novina]]-R14</f>
        <v>10.1</v>
      </c>
      <c r="T1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11</v>
      </c>
      <c r="U14" s="19"/>
      <c r="V14" s="20"/>
      <c r="W14" s="21">
        <f>Twirling_Solo_Program2891011121314151617185253545556575860616365676869[[#This Row],[Judge 4
Bernard Barač]]-V14</f>
        <v>0</v>
      </c>
      <c r="X14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4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19.5</v>
      </c>
      <c r="Z14" s="23"/>
      <c r="AA14" s="23"/>
      <c r="AB14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19.5</v>
      </c>
      <c r="AC14" s="23">
        <f t="shared" si="0"/>
        <v>10.25</v>
      </c>
      <c r="AD14" s="24">
        <f>Twirling_Solo_Program2891011121314151617185253545556575860616365676869[[#This Row],[Final Total]]</f>
        <v>19.5</v>
      </c>
      <c r="AE14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12</v>
      </c>
      <c r="AF14" s="16" t="s">
        <v>35</v>
      </c>
    </row>
    <row r="15" spans="1:51" x14ac:dyDescent="0.3">
      <c r="A15" s="16">
        <v>63</v>
      </c>
      <c r="B15" s="17">
        <v>2</v>
      </c>
      <c r="C15" s="17" t="s">
        <v>101</v>
      </c>
      <c r="D15" s="17" t="s">
        <v>27</v>
      </c>
      <c r="E15" s="17" t="s">
        <v>50</v>
      </c>
      <c r="F15" s="17" t="s">
        <v>142</v>
      </c>
      <c r="G15" s="17" t="s">
        <v>54</v>
      </c>
      <c r="H15" s="18" t="s">
        <v>28</v>
      </c>
      <c r="I15" s="19"/>
      <c r="J15" s="20"/>
      <c r="K15" s="21">
        <f>Twirling_Solo_Program2891011121314151617185253545556575860616365676869[[#This Row],[Judge 1
Tamara Beljak]]-J15</f>
        <v>0</v>
      </c>
      <c r="L1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5" s="19">
        <v>11.1</v>
      </c>
      <c r="N15" s="20">
        <v>2</v>
      </c>
      <c r="O15" s="21">
        <f>Twirling_Solo_Program2891011121314151617185253545556575860616365676869[[#This Row],[Judge 2
Tihomir Bendelja]]-Twirling_Solo_Program2891011121314151617185253545556575860616365676869[[#This Row],[J2 (-)]]</f>
        <v>9.1</v>
      </c>
      <c r="P1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14</v>
      </c>
      <c r="Q15" s="19">
        <v>12.1</v>
      </c>
      <c r="R15" s="20">
        <v>2</v>
      </c>
      <c r="S15" s="21">
        <f>Twirling_Solo_Program2891011121314151617185253545556575860616365676869[[#This Row],[Judge 3
Barbara Novina]]-R15</f>
        <v>10.1</v>
      </c>
      <c r="T1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11</v>
      </c>
      <c r="U15" s="19"/>
      <c r="V15" s="20"/>
      <c r="W15" s="21">
        <f>Twirling_Solo_Program2891011121314151617185253545556575860616365676869[[#This Row],[Judge 4
Bernard Barač]]-V15</f>
        <v>0</v>
      </c>
      <c r="X15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5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19.2</v>
      </c>
      <c r="Z15" s="23"/>
      <c r="AA15" s="23"/>
      <c r="AB15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19.2</v>
      </c>
      <c r="AC15" s="23">
        <f t="shared" si="0"/>
        <v>11.6</v>
      </c>
      <c r="AD15" s="24">
        <f>Twirling_Solo_Program2891011121314151617185253545556575860616365676869[[#This Row],[Final Total]]</f>
        <v>19.2</v>
      </c>
      <c r="AE15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14</v>
      </c>
      <c r="AF15" s="16" t="s">
        <v>35</v>
      </c>
    </row>
    <row r="16" spans="1:51" x14ac:dyDescent="0.3">
      <c r="A16" s="16">
        <v>65</v>
      </c>
      <c r="B16" s="17">
        <v>2</v>
      </c>
      <c r="C16" s="17" t="s">
        <v>101</v>
      </c>
      <c r="D16" s="17" t="s">
        <v>27</v>
      </c>
      <c r="E16" s="17" t="s">
        <v>50</v>
      </c>
      <c r="F16" s="17" t="s">
        <v>143</v>
      </c>
      <c r="G16" s="17" t="s">
        <v>32</v>
      </c>
      <c r="H16" s="18" t="s">
        <v>25</v>
      </c>
      <c r="I16" s="19"/>
      <c r="J16" s="20"/>
      <c r="K16" s="21">
        <f>Twirling_Solo_Program2891011121314151617185253545556575860616365676869[[#This Row],[Judge 1
Tamara Beljak]]-J16</f>
        <v>0</v>
      </c>
      <c r="L1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6" s="19">
        <v>12.7</v>
      </c>
      <c r="N16" s="20">
        <v>4.5</v>
      </c>
      <c r="O16" s="21">
        <f>Twirling_Solo_Program2891011121314151617185253545556575860616365676869[[#This Row],[Judge 2
Tihomir Bendelja]]-Twirling_Solo_Program2891011121314151617185253545556575860616365676869[[#This Row],[J2 (-)]]</f>
        <v>8.1999999999999993</v>
      </c>
      <c r="P1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15</v>
      </c>
      <c r="Q16" s="19">
        <v>12.5</v>
      </c>
      <c r="R16" s="20">
        <v>4.5</v>
      </c>
      <c r="S16" s="21">
        <f>Twirling_Solo_Program2891011121314151617185253545556575860616365676869[[#This Row],[Judge 3
Barbara Novina]]-R16</f>
        <v>8</v>
      </c>
      <c r="T1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15</v>
      </c>
      <c r="U16" s="19"/>
      <c r="V16" s="20"/>
      <c r="W16" s="21">
        <f>Twirling_Solo_Program2891011121314151617185253545556575860616365676869[[#This Row],[Judge 4
Bernard Barač]]-V16</f>
        <v>0</v>
      </c>
      <c r="X16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6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16.2</v>
      </c>
      <c r="Z16" s="23"/>
      <c r="AA16" s="23"/>
      <c r="AB16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16.2</v>
      </c>
      <c r="AC16" s="23">
        <f t="shared" si="0"/>
        <v>12.6</v>
      </c>
      <c r="AD16" s="24">
        <f>Twirling_Solo_Program2891011121314151617185253545556575860616365676869[[#This Row],[Final Total]]</f>
        <v>16.2</v>
      </c>
      <c r="AE16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15</v>
      </c>
      <c r="AF16" s="16" t="s">
        <v>35</v>
      </c>
    </row>
    <row r="17" spans="1:32" x14ac:dyDescent="0.3">
      <c r="A17" s="16">
        <v>69</v>
      </c>
      <c r="B17" s="17">
        <v>2</v>
      </c>
      <c r="C17" s="17" t="s">
        <v>101</v>
      </c>
      <c r="D17" s="17" t="s">
        <v>27</v>
      </c>
      <c r="E17" s="17" t="s">
        <v>50</v>
      </c>
      <c r="F17" s="17" t="s">
        <v>145</v>
      </c>
      <c r="G17" s="17" t="s">
        <v>146</v>
      </c>
      <c r="H17" s="18" t="s">
        <v>28</v>
      </c>
      <c r="I17" s="19"/>
      <c r="J17" s="20"/>
      <c r="K17" s="21">
        <f>Twirling_Solo_Program2891011121314151617185253545556575860616365676869[[#This Row],[Judge 1
Tamara Beljak]]-J17</f>
        <v>0</v>
      </c>
      <c r="L1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Row],[Category]],Twirling_Solo_Program2891011121314151617185253545556575860616365676869[J1 TOTAL],"&gt;"&amp;Twirling_Solo_Program2891011121314151617185253545556575860616365676869[[#This Row],[J1 TOTAL]])+1</f>
        <v>1</v>
      </c>
      <c r="M17" s="19">
        <v>9.3000000000000007</v>
      </c>
      <c r="N17" s="20">
        <v>2.5</v>
      </c>
      <c r="O17" s="21">
        <f>Twirling_Solo_Program2891011121314151617185253545556575860616365676869[[#This Row],[Judge 2
Tihomir Bendelja]]-Twirling_Solo_Program2891011121314151617185253545556575860616365676869[[#This Row],[J2 (-)]]</f>
        <v>6.8000000000000007</v>
      </c>
      <c r="P1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Row],[Category]],Twirling_Solo_Program2891011121314151617185253545556575860616365676869[J2 TOTAL],"&gt;"&amp;Twirling_Solo_Program2891011121314151617185253545556575860616365676869[[#This Row],[J2 TOTAL]])+1</f>
        <v>16</v>
      </c>
      <c r="Q17" s="19">
        <v>9.4</v>
      </c>
      <c r="R17" s="20">
        <v>2.5</v>
      </c>
      <c r="S17" s="21">
        <f>Twirling_Solo_Program2891011121314151617185253545556575860616365676869[[#This Row],[Judge 3
Barbara Novina]]-R17</f>
        <v>6.9</v>
      </c>
      <c r="T1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Row],[Category]],Twirling_Solo_Program2891011121314151617185253545556575860616365676869[J3 TOTAL],"&gt;"&amp;Twirling_Solo_Program2891011121314151617185253545556575860616365676869[[#This Row],[J3 TOTAL]])+1</f>
        <v>16</v>
      </c>
      <c r="U17" s="19"/>
      <c r="V17" s="20"/>
      <c r="W17" s="21">
        <f>Twirling_Solo_Program2891011121314151617185253545556575860616365676869[[#This Row],[Judge 4
Bernard Barač]]-V17</f>
        <v>0</v>
      </c>
      <c r="X17" s="22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Row],[Category]],Twirling_Solo_Program2891011121314151617185253545556575860616365676869[J4 TOTAL],"&gt;"&amp;Twirling_Solo_Program2891011121314151617185253545556575860616365676869[[#This Row],[J4 TOTAL]])+1</f>
        <v>1</v>
      </c>
      <c r="Y17" s="23">
        <f>SUM(Twirling_Solo_Program2891011121314151617185253545556575860616365676869[[#This Row],[J1 TOTAL]]+Twirling_Solo_Program2891011121314151617185253545556575860616365676869[[#This Row],[J2 TOTAL]]+Twirling_Solo_Program2891011121314151617185253545556575860616365676869[[#This Row],[J3 TOTAL]]+Twirling_Solo_Program2891011121314151617185253545556575860616365676869[[#This Row],[J4 TOTAL]])</f>
        <v>13.700000000000001</v>
      </c>
      <c r="Z17" s="23"/>
      <c r="AA17" s="23"/>
      <c r="AB17" s="23">
        <f>SUM(Twirling_Solo_Program2891011121314151617185253545556575860616365676869[[#This Row],[Total]]-Twirling_Solo_Program2891011121314151617185253545556575860616365676869[[#This Row],[Low]]-Twirling_Solo_Program2891011121314151617185253545556575860616365676869[[#This Row],[High]])</f>
        <v>13.700000000000001</v>
      </c>
      <c r="AC17" s="23">
        <f t="shared" si="0"/>
        <v>9.3500000000000014</v>
      </c>
      <c r="AD17" s="24">
        <f>Twirling_Solo_Program2891011121314151617185253545556575860616365676869[[#This Row],[Final Total]]</f>
        <v>13.700000000000001</v>
      </c>
      <c r="AE17" s="25">
        <f>COUNTIFS(Twirling_Solo_Program2891011121314151617185253545556575860616365676869[Age
Division],Twirling_Solo_Program2891011121314151617185253545556575860616365676869[[#This Row],[Age
Division]],Twirling_Solo_Program2891011121314151617185253545556575860616365676869[Category],Twirling_Solo_Program2891011121314151617185253545556575860616365676869[[#This Row],[Category]],Twirling_Solo_Program2891011121314151617185253545556575860616365676869[FINAL SCORE],"&gt;"&amp;Twirling_Solo_Program2891011121314151617185253545556575860616365676869[[#This Row],[FINAL SCORE]])+1</f>
        <v>16</v>
      </c>
      <c r="AF17" s="16" t="s">
        <v>35</v>
      </c>
    </row>
  </sheetData>
  <sheetProtection algorithmName="SHA-512" hashValue="HTIZx9t9nAZnRiGDbHaPo6W/bSredVuXVTotkAPourEfUEFSujsVEdwDU5qLzD2Fc+ZrxUf5+cfurKkkuOtYaQ==" saltValue="m6FUp2p5iIDgAYOfbS6LlQ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"/>
  <sheetViews>
    <sheetView zoomScale="80" zoomScaleNormal="80" workbookViewId="0">
      <selection sqref="A1:XFD1048576"/>
    </sheetView>
  </sheetViews>
  <sheetFormatPr defaultColWidth="8.85546875" defaultRowHeight="15" x14ac:dyDescent="0.25"/>
  <cols>
    <col min="1" max="2" width="5.85546875" style="45" customWidth="1"/>
    <col min="3" max="3" width="12.42578125" style="45" customWidth="1"/>
    <col min="4" max="4" width="9.140625" style="45" customWidth="1"/>
    <col min="5" max="5" width="11.28515625" style="45" customWidth="1"/>
    <col min="6" max="6" width="20.140625" style="45" customWidth="1"/>
    <col min="7" max="7" width="43.28515625" style="45" bestFit="1" customWidth="1"/>
    <col min="8" max="8" width="9.7109375" style="45" bestFit="1" customWidth="1"/>
    <col min="9" max="12" width="8.85546875" style="45" customWidth="1"/>
    <col min="13" max="20" width="8.85546875" style="45" hidden="1" customWidth="1"/>
    <col min="21" max="25" width="8.85546875" style="45" customWidth="1"/>
    <col min="26" max="27" width="8.85546875" style="45" hidden="1" customWidth="1"/>
    <col min="28" max="30" width="8.85546875" style="45" customWidth="1"/>
    <col min="31" max="31" width="4.42578125" style="45" customWidth="1"/>
    <col min="32" max="32" width="5" style="45" customWidth="1"/>
    <col min="33" max="16384" width="8.85546875" style="45"/>
  </cols>
  <sheetData>
    <row r="1" spans="1:34" ht="38.25" x14ac:dyDescent="0.25">
      <c r="A1" s="36" t="s">
        <v>19</v>
      </c>
      <c r="B1" s="36" t="s">
        <v>0</v>
      </c>
      <c r="C1" s="37" t="s">
        <v>20</v>
      </c>
      <c r="D1" s="38" t="s">
        <v>21</v>
      </c>
      <c r="E1" s="38" t="s">
        <v>1</v>
      </c>
      <c r="F1" s="39" t="s">
        <v>2</v>
      </c>
      <c r="G1" s="39" t="s">
        <v>3</v>
      </c>
      <c r="H1" s="39" t="s">
        <v>4</v>
      </c>
      <c r="I1" s="40" t="s">
        <v>5</v>
      </c>
      <c r="J1" s="40" t="s">
        <v>6</v>
      </c>
      <c r="K1" s="40" t="s">
        <v>47</v>
      </c>
      <c r="L1" s="40" t="s">
        <v>7</v>
      </c>
      <c r="M1" s="41" t="s">
        <v>8</v>
      </c>
      <c r="N1" s="41" t="s">
        <v>9</v>
      </c>
      <c r="O1" s="41" t="s">
        <v>44</v>
      </c>
      <c r="P1" s="41" t="s">
        <v>10</v>
      </c>
      <c r="Q1" s="40" t="s">
        <v>193</v>
      </c>
      <c r="R1" s="40" t="s">
        <v>11</v>
      </c>
      <c r="S1" s="40" t="s">
        <v>45</v>
      </c>
      <c r="T1" s="40" t="s">
        <v>12</v>
      </c>
      <c r="U1" s="41" t="s">
        <v>22</v>
      </c>
      <c r="V1" s="41" t="s">
        <v>13</v>
      </c>
      <c r="W1" s="41" t="s">
        <v>46</v>
      </c>
      <c r="X1" s="41" t="s">
        <v>14</v>
      </c>
      <c r="Y1" s="42" t="s">
        <v>16</v>
      </c>
      <c r="Z1" s="42" t="s">
        <v>41</v>
      </c>
      <c r="AA1" s="42" t="s">
        <v>42</v>
      </c>
      <c r="AB1" s="42" t="s">
        <v>43</v>
      </c>
      <c r="AC1" s="42" t="s">
        <v>15</v>
      </c>
      <c r="AD1" s="43" t="s">
        <v>17</v>
      </c>
      <c r="AE1" s="44" t="s">
        <v>18</v>
      </c>
      <c r="AF1" s="43" t="s">
        <v>48</v>
      </c>
    </row>
    <row r="2" spans="1:34" ht="16.5" x14ac:dyDescent="0.3">
      <c r="A2" s="46">
        <v>66</v>
      </c>
      <c r="B2" s="47">
        <v>1</v>
      </c>
      <c r="C2" s="47" t="s">
        <v>101</v>
      </c>
      <c r="D2" s="47" t="s">
        <v>195</v>
      </c>
      <c r="E2" s="47" t="s">
        <v>66</v>
      </c>
      <c r="F2" s="47" t="s">
        <v>68</v>
      </c>
      <c r="G2" s="47" t="s">
        <v>58</v>
      </c>
      <c r="H2" s="47" t="s">
        <v>25</v>
      </c>
      <c r="I2" s="48">
        <v>37.4</v>
      </c>
      <c r="J2" s="49">
        <v>1</v>
      </c>
      <c r="K2" s="50">
        <f>Twirling_Solo_Program28910111213141516171852535455565758606163656768697273742[[#This Row],[Judge 1
Tamara Beljak]]-J2</f>
        <v>36.4</v>
      </c>
      <c r="L2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f>
        <v>1</v>
      </c>
      <c r="M2" s="48"/>
      <c r="N2" s="49"/>
      <c r="O2" s="50">
        <f>Twirling_Solo_Program28910111213141516171852535455565758606163656768697273742[[#This Row],[Judge 2
Tihomir Bendelja]]-Twirling_Solo_Program28910111213141516171852535455565758606163656768697273742[[#This Row],[J2 (-)]]</f>
        <v>0</v>
      </c>
      <c r="P2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f>
        <v>1</v>
      </c>
      <c r="Q2" s="48"/>
      <c r="R2" s="49"/>
      <c r="S2" s="50">
        <f>Twirling_Solo_Program28910111213141516171852535455565758606163656768697273742[[#This Row],[Judge 3
Barbara Novina]]-R2</f>
        <v>0</v>
      </c>
      <c r="T2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f>
        <v>1</v>
      </c>
      <c r="U2" s="48">
        <v>36.799999999999997</v>
      </c>
      <c r="V2" s="49">
        <v>1</v>
      </c>
      <c r="W2" s="50">
        <f>Twirling_Solo_Program28910111213141516171852535455565758606163656768697273742[[#This Row],[Judge 4
Bernard Barač]]-V2</f>
        <v>35.799999999999997</v>
      </c>
      <c r="X2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f>
        <v>1</v>
      </c>
      <c r="Y2" s="52">
        <f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f>
        <v>72.199999999999989</v>
      </c>
      <c r="Z2" s="52"/>
      <c r="AA2" s="52"/>
      <c r="AB2" s="52">
        <f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f>
        <v>72.199999999999989</v>
      </c>
      <c r="AC2" s="52">
        <f t="shared" ref="AC2:AC8" si="0">AVERAGE(I2,M2,Q2,U2)</f>
        <v>37.099999999999994</v>
      </c>
      <c r="AD2" s="53">
        <f>Twirling_Solo_Program28910111213141516171852535455565758606163656768697273742[[#This Row],[Final Total]]</f>
        <v>72.199999999999989</v>
      </c>
      <c r="AE2" s="54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f>
        <v>1</v>
      </c>
      <c r="AF2" s="16" t="s">
        <v>35</v>
      </c>
      <c r="AG2" s="55"/>
      <c r="AH2" s="55"/>
    </row>
    <row r="3" spans="1:34" ht="16.5" x14ac:dyDescent="0.3">
      <c r="A3" s="46">
        <v>68</v>
      </c>
      <c r="B3" s="47">
        <v>1</v>
      </c>
      <c r="C3" s="47" t="s">
        <v>101</v>
      </c>
      <c r="D3" s="47" t="s">
        <v>195</v>
      </c>
      <c r="E3" s="47" t="s">
        <v>66</v>
      </c>
      <c r="F3" s="47" t="s">
        <v>69</v>
      </c>
      <c r="G3" s="47" t="s">
        <v>58</v>
      </c>
      <c r="H3" s="47" t="s">
        <v>25</v>
      </c>
      <c r="I3" s="48">
        <v>36</v>
      </c>
      <c r="J3" s="49">
        <v>1.5</v>
      </c>
      <c r="K3" s="50">
        <f>Twirling_Solo_Program28910111213141516171852535455565758606163656768697273742[[#This Row],[Judge 1
Tamara Beljak]]-J3</f>
        <v>34.5</v>
      </c>
      <c r="L3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f>
        <v>3</v>
      </c>
      <c r="M3" s="48"/>
      <c r="N3" s="49"/>
      <c r="O3" s="50">
        <f>Twirling_Solo_Program28910111213141516171852535455565758606163656768697273742[[#This Row],[Judge 2
Tihomir Bendelja]]-Twirling_Solo_Program28910111213141516171852535455565758606163656768697273742[[#This Row],[J2 (-)]]</f>
        <v>0</v>
      </c>
      <c r="P3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f>
        <v>1</v>
      </c>
      <c r="Q3" s="48"/>
      <c r="R3" s="49"/>
      <c r="S3" s="50">
        <f>Twirling_Solo_Program28910111213141516171852535455565758606163656768697273742[[#This Row],[Judge 3
Barbara Novina]]-R3</f>
        <v>0</v>
      </c>
      <c r="T3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f>
        <v>1</v>
      </c>
      <c r="U3" s="48">
        <v>36.5</v>
      </c>
      <c r="V3" s="49">
        <v>1.5</v>
      </c>
      <c r="W3" s="50">
        <f>Twirling_Solo_Program28910111213141516171852535455565758606163656768697273742[[#This Row],[Judge 4
Bernard Barač]]-V3</f>
        <v>35</v>
      </c>
      <c r="X3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f>
        <v>2</v>
      </c>
      <c r="Y3" s="52">
        <f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f>
        <v>69.5</v>
      </c>
      <c r="Z3" s="52"/>
      <c r="AA3" s="52"/>
      <c r="AB3" s="52">
        <f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f>
        <v>69.5</v>
      </c>
      <c r="AC3" s="52">
        <f t="shared" si="0"/>
        <v>36.25</v>
      </c>
      <c r="AD3" s="53">
        <f>Twirling_Solo_Program28910111213141516171852535455565758606163656768697273742[[#This Row],[Final Total]]</f>
        <v>69.5</v>
      </c>
      <c r="AE3" s="54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f>
        <v>2</v>
      </c>
      <c r="AF3" s="16" t="s">
        <v>35</v>
      </c>
      <c r="AG3" s="55"/>
      <c r="AH3" s="55"/>
    </row>
    <row r="4" spans="1:34" ht="16.5" x14ac:dyDescent="0.3">
      <c r="A4" s="46">
        <v>70</v>
      </c>
      <c r="B4" s="47">
        <v>1</v>
      </c>
      <c r="C4" s="47" t="s">
        <v>101</v>
      </c>
      <c r="D4" s="47" t="s">
        <v>195</v>
      </c>
      <c r="E4" s="47" t="s">
        <v>66</v>
      </c>
      <c r="F4" s="47" t="s">
        <v>199</v>
      </c>
      <c r="G4" s="47" t="s">
        <v>32</v>
      </c>
      <c r="H4" s="47" t="s">
        <v>25</v>
      </c>
      <c r="I4" s="48">
        <v>35.4</v>
      </c>
      <c r="J4" s="49">
        <v>1</v>
      </c>
      <c r="K4" s="50">
        <f>Twirling_Solo_Program28910111213141516171852535455565758606163656768697273742[[#This Row],[Judge 1
Tamara Beljak]]-J4</f>
        <v>34.4</v>
      </c>
      <c r="L4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f>
        <v>4</v>
      </c>
      <c r="M4" s="48"/>
      <c r="N4" s="49"/>
      <c r="O4" s="50">
        <f>Twirling_Solo_Program28910111213141516171852535455565758606163656768697273742[[#This Row],[Judge 2
Tihomir Bendelja]]-Twirling_Solo_Program28910111213141516171852535455565758606163656768697273742[[#This Row],[J2 (-)]]</f>
        <v>0</v>
      </c>
      <c r="P4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f>
        <v>1</v>
      </c>
      <c r="Q4" s="48"/>
      <c r="R4" s="49"/>
      <c r="S4" s="50">
        <f>Twirling_Solo_Program28910111213141516171852535455565758606163656768697273742[[#This Row],[Judge 3
Barbara Novina]]-R4</f>
        <v>0</v>
      </c>
      <c r="T4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f>
        <v>1</v>
      </c>
      <c r="U4" s="48">
        <v>35.700000000000003</v>
      </c>
      <c r="V4" s="49">
        <v>1</v>
      </c>
      <c r="W4" s="50">
        <f>Twirling_Solo_Program28910111213141516171852535455565758606163656768697273742[[#This Row],[Judge 4
Bernard Barač]]-V4</f>
        <v>34.700000000000003</v>
      </c>
      <c r="X4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f>
        <v>3</v>
      </c>
      <c r="Y4" s="52">
        <f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f>
        <v>69.099999999999994</v>
      </c>
      <c r="Z4" s="52"/>
      <c r="AA4" s="52"/>
      <c r="AB4" s="52">
        <f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f>
        <v>69.099999999999994</v>
      </c>
      <c r="AC4" s="52">
        <f t="shared" si="0"/>
        <v>35.549999999999997</v>
      </c>
      <c r="AD4" s="53">
        <f>Twirling_Solo_Program28910111213141516171852535455565758606163656768697273742[[#This Row],[Final Total]]</f>
        <v>69.099999999999994</v>
      </c>
      <c r="AE4" s="54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f>
        <v>3</v>
      </c>
      <c r="AF4" s="16" t="s">
        <v>35</v>
      </c>
      <c r="AG4" s="55"/>
      <c r="AH4" s="55"/>
    </row>
    <row r="5" spans="1:34" ht="16.5" x14ac:dyDescent="0.3">
      <c r="A5" s="46">
        <v>62</v>
      </c>
      <c r="B5" s="47">
        <v>1</v>
      </c>
      <c r="C5" s="47" t="s">
        <v>101</v>
      </c>
      <c r="D5" s="47" t="s">
        <v>195</v>
      </c>
      <c r="E5" s="47" t="s">
        <v>66</v>
      </c>
      <c r="F5" s="47" t="s">
        <v>198</v>
      </c>
      <c r="G5" s="47" t="s">
        <v>58</v>
      </c>
      <c r="H5" s="47" t="s">
        <v>25</v>
      </c>
      <c r="I5" s="48">
        <v>36.6</v>
      </c>
      <c r="J5" s="49">
        <v>2</v>
      </c>
      <c r="K5" s="50">
        <f>Twirling_Solo_Program28910111213141516171852535455565758606163656768697273742[[#This Row],[Judge 1
Tamara Beljak]]-J5</f>
        <v>34.6</v>
      </c>
      <c r="L5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f>
        <v>2</v>
      </c>
      <c r="M5" s="48"/>
      <c r="N5" s="49"/>
      <c r="O5" s="50">
        <f>Twirling_Solo_Program28910111213141516171852535455565758606163656768697273742[[#This Row],[Judge 2
Tihomir Bendelja]]-Twirling_Solo_Program28910111213141516171852535455565758606163656768697273742[[#This Row],[J2 (-)]]</f>
        <v>0</v>
      </c>
      <c r="P5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f>
        <v>1</v>
      </c>
      <c r="Q5" s="48"/>
      <c r="R5" s="49"/>
      <c r="S5" s="50">
        <f>Twirling_Solo_Program28910111213141516171852535455565758606163656768697273742[[#This Row],[Judge 3
Barbara Novina]]-R5</f>
        <v>0</v>
      </c>
      <c r="T5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f>
        <v>1</v>
      </c>
      <c r="U5" s="48">
        <v>36.299999999999997</v>
      </c>
      <c r="V5" s="49">
        <v>2</v>
      </c>
      <c r="W5" s="50">
        <f>Twirling_Solo_Program28910111213141516171852535455565758606163656768697273742[[#This Row],[Judge 4
Bernard Barač]]-V5</f>
        <v>34.299999999999997</v>
      </c>
      <c r="X5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f>
        <v>4</v>
      </c>
      <c r="Y5" s="52">
        <f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f>
        <v>68.900000000000006</v>
      </c>
      <c r="Z5" s="52"/>
      <c r="AA5" s="52"/>
      <c r="AB5" s="52">
        <f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f>
        <v>68.900000000000006</v>
      </c>
      <c r="AC5" s="52">
        <f t="shared" si="0"/>
        <v>36.450000000000003</v>
      </c>
      <c r="AD5" s="53">
        <f>Twirling_Solo_Program28910111213141516171852535455565758606163656768697273742[[#This Row],[Final Total]]</f>
        <v>68.900000000000006</v>
      </c>
      <c r="AE5" s="54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f>
        <v>4</v>
      </c>
      <c r="AF5" s="16" t="s">
        <v>35</v>
      </c>
      <c r="AG5" s="55"/>
      <c r="AH5" s="55"/>
    </row>
    <row r="6" spans="1:34" ht="16.5" x14ac:dyDescent="0.3">
      <c r="A6" s="46">
        <v>72</v>
      </c>
      <c r="B6" s="47">
        <v>1</v>
      </c>
      <c r="C6" s="47" t="s">
        <v>101</v>
      </c>
      <c r="D6" s="47" t="s">
        <v>195</v>
      </c>
      <c r="E6" s="47" t="s">
        <v>66</v>
      </c>
      <c r="F6" s="47" t="s">
        <v>197</v>
      </c>
      <c r="G6" s="47" t="s">
        <v>52</v>
      </c>
      <c r="H6" s="47" t="s">
        <v>25</v>
      </c>
      <c r="I6" s="48">
        <v>36.4</v>
      </c>
      <c r="J6" s="49">
        <v>2</v>
      </c>
      <c r="K6" s="50">
        <f>Twirling_Solo_Program28910111213141516171852535455565758606163656768697273742[[#This Row],[Judge 1
Tamara Beljak]]-J6</f>
        <v>34.4</v>
      </c>
      <c r="L6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f>
        <v>4</v>
      </c>
      <c r="M6" s="48"/>
      <c r="N6" s="49"/>
      <c r="O6" s="50">
        <f>Twirling_Solo_Program28910111213141516171852535455565758606163656768697273742[[#This Row],[Judge 2
Tihomir Bendelja]]-Twirling_Solo_Program28910111213141516171852535455565758606163656768697273742[[#This Row],[J2 (-)]]</f>
        <v>0</v>
      </c>
      <c r="P6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f>
        <v>1</v>
      </c>
      <c r="Q6" s="48"/>
      <c r="R6" s="49"/>
      <c r="S6" s="50">
        <f>Twirling_Solo_Program28910111213141516171852535455565758606163656768697273742[[#This Row],[Judge 3
Barbara Novina]]-R6</f>
        <v>0</v>
      </c>
      <c r="T6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f>
        <v>1</v>
      </c>
      <c r="U6" s="48">
        <v>36.200000000000003</v>
      </c>
      <c r="V6" s="49">
        <v>2</v>
      </c>
      <c r="W6" s="50">
        <f>Twirling_Solo_Program28910111213141516171852535455565758606163656768697273742[[#This Row],[Judge 4
Bernard Barač]]-V6</f>
        <v>34.200000000000003</v>
      </c>
      <c r="X6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f>
        <v>5</v>
      </c>
      <c r="Y6" s="52">
        <f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f>
        <v>68.599999999999994</v>
      </c>
      <c r="Z6" s="52"/>
      <c r="AA6" s="52"/>
      <c r="AB6" s="52">
        <f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f>
        <v>68.599999999999994</v>
      </c>
      <c r="AC6" s="52">
        <f t="shared" si="0"/>
        <v>36.299999999999997</v>
      </c>
      <c r="AD6" s="53">
        <f>Twirling_Solo_Program28910111213141516171852535455565758606163656768697273742[[#This Row],[Final Total]]</f>
        <v>68.599999999999994</v>
      </c>
      <c r="AE6" s="54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f>
        <v>5</v>
      </c>
      <c r="AF6" s="16" t="s">
        <v>35</v>
      </c>
      <c r="AG6" s="55"/>
      <c r="AH6" s="55"/>
    </row>
    <row r="7" spans="1:34" ht="16.5" x14ac:dyDescent="0.3">
      <c r="A7" s="46">
        <v>74</v>
      </c>
      <c r="B7" s="47">
        <v>1</v>
      </c>
      <c r="C7" s="47" t="s">
        <v>101</v>
      </c>
      <c r="D7" s="47" t="s">
        <v>195</v>
      </c>
      <c r="E7" s="47" t="s">
        <v>66</v>
      </c>
      <c r="F7" s="47" t="s">
        <v>196</v>
      </c>
      <c r="G7" s="47" t="s">
        <v>32</v>
      </c>
      <c r="H7" s="47" t="s">
        <v>25</v>
      </c>
      <c r="I7" s="48">
        <v>34.299999999999997</v>
      </c>
      <c r="J7" s="49">
        <v>2</v>
      </c>
      <c r="K7" s="50">
        <f>Twirling_Solo_Program28910111213141516171852535455565758606163656768697273742[[#This Row],[Judge 1
Tamara Beljak]]-J7</f>
        <v>32.299999999999997</v>
      </c>
      <c r="L7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f>
        <v>6</v>
      </c>
      <c r="M7" s="48"/>
      <c r="N7" s="49"/>
      <c r="O7" s="50">
        <f>Twirling_Solo_Program28910111213141516171852535455565758606163656768697273742[[#This Row],[Judge 2
Tihomir Bendelja]]-Twirling_Solo_Program28910111213141516171852535455565758606163656768697273742[[#This Row],[J2 (-)]]</f>
        <v>0</v>
      </c>
      <c r="P7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f>
        <v>1</v>
      </c>
      <c r="Q7" s="48"/>
      <c r="R7" s="49"/>
      <c r="S7" s="50">
        <f>Twirling_Solo_Program28910111213141516171852535455565758606163656768697273742[[#This Row],[Judge 3
Barbara Novina]]-R7</f>
        <v>0</v>
      </c>
      <c r="T7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f>
        <v>1</v>
      </c>
      <c r="U7" s="48">
        <v>35.200000000000003</v>
      </c>
      <c r="V7" s="49">
        <v>2</v>
      </c>
      <c r="W7" s="50">
        <f>Twirling_Solo_Program28910111213141516171852535455565758606163656768697273742[[#This Row],[Judge 4
Bernard Barač]]-V7</f>
        <v>33.200000000000003</v>
      </c>
      <c r="X7" s="5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f>
        <v>6</v>
      </c>
      <c r="Y7" s="52">
        <f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f>
        <v>65.5</v>
      </c>
      <c r="Z7" s="52"/>
      <c r="AA7" s="52"/>
      <c r="AB7" s="52">
        <f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f>
        <v>65.5</v>
      </c>
      <c r="AC7" s="52">
        <f t="shared" si="0"/>
        <v>34.75</v>
      </c>
      <c r="AD7" s="53">
        <f>Twirling_Solo_Program28910111213141516171852535455565758606163656768697273742[[#This Row],[Final Total]]</f>
        <v>65.5</v>
      </c>
      <c r="AE7" s="54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f>
        <v>6</v>
      </c>
      <c r="AF7" s="16" t="s">
        <v>35</v>
      </c>
      <c r="AG7" s="55"/>
      <c r="AH7" s="55"/>
    </row>
    <row r="8" spans="1:34" ht="16.5" x14ac:dyDescent="0.3">
      <c r="A8" s="56">
        <v>64</v>
      </c>
      <c r="B8" s="57">
        <v>1</v>
      </c>
      <c r="C8" s="57" t="s">
        <v>101</v>
      </c>
      <c r="D8" s="57" t="s">
        <v>195</v>
      </c>
      <c r="E8" s="57" t="s">
        <v>66</v>
      </c>
      <c r="F8" s="57" t="s">
        <v>194</v>
      </c>
      <c r="G8" s="57" t="s">
        <v>134</v>
      </c>
      <c r="H8" s="57" t="s">
        <v>25</v>
      </c>
      <c r="I8" s="58">
        <v>0</v>
      </c>
      <c r="J8" s="58">
        <v>0</v>
      </c>
      <c r="K8" s="58">
        <f>Twirling_Solo_Program28910111213141516171852535455565758606163656768697273742[[#This Row],[Judge 1
Tamara Beljak]]-J8</f>
        <v>0</v>
      </c>
      <c r="L8" s="59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Row],[Category]],Twirling_Solo_Program28910111213141516171852535455565758606163656768697273742[J1 TOTAL],"&gt;"&amp;Twirling_Solo_Program28910111213141516171852535455565758606163656768697273742[[#This Row],[J1 TOTAL]])+1</f>
        <v>7</v>
      </c>
      <c r="M8" s="58"/>
      <c r="N8" s="58"/>
      <c r="O8" s="58">
        <f>Twirling_Solo_Program28910111213141516171852535455565758606163656768697273742[[#This Row],[Judge 2
Tihomir Bendelja]]-Twirling_Solo_Program28910111213141516171852535455565758606163656768697273742[[#This Row],[J2 (-)]]</f>
        <v>0</v>
      </c>
      <c r="P8" s="59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Row],[Category]],Twirling_Solo_Program28910111213141516171852535455565758606163656768697273742[J2 TOTAL],"&gt;"&amp;Twirling_Solo_Program28910111213141516171852535455565758606163656768697273742[[#This Row],[J2 TOTAL]])+1</f>
        <v>1</v>
      </c>
      <c r="Q8" s="58"/>
      <c r="R8" s="58"/>
      <c r="S8" s="58">
        <f>Twirling_Solo_Program28910111213141516171852535455565758606163656768697273742[[#This Row],[Judge 3
Barbara Novina]]-R8</f>
        <v>0</v>
      </c>
      <c r="T8" s="59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Row],[Category]],Twirling_Solo_Program28910111213141516171852535455565758606163656768697273742[J3 TOTAL],"&gt;"&amp;Twirling_Solo_Program28910111213141516171852535455565758606163656768697273742[[#This Row],[J3 TOTAL]])+1</f>
        <v>1</v>
      </c>
      <c r="U8" s="58">
        <v>0</v>
      </c>
      <c r="V8" s="58">
        <v>0</v>
      </c>
      <c r="W8" s="58">
        <f>Twirling_Solo_Program28910111213141516171852535455565758606163656768697273742[[#This Row],[Judge 4
Bernard Barač]]-V8</f>
        <v>0</v>
      </c>
      <c r="X8" s="59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Row],[Category]],Twirling_Solo_Program28910111213141516171852535455565758606163656768697273742[J4 TOTAL],"&gt;"&amp;Twirling_Solo_Program28910111213141516171852535455565758606163656768697273742[[#This Row],[J4 TOTAL]])+1</f>
        <v>7</v>
      </c>
      <c r="Y8" s="58">
        <f>SUM(Twirling_Solo_Program28910111213141516171852535455565758606163656768697273742[[#This Row],[J1 TOTAL]]+Twirling_Solo_Program28910111213141516171852535455565758606163656768697273742[[#This Row],[J2 TOTAL]]+Twirling_Solo_Program28910111213141516171852535455565758606163656768697273742[[#This Row],[J3 TOTAL]]+Twirling_Solo_Program28910111213141516171852535455565758606163656768697273742[[#This Row],[J4 TOTAL]])</f>
        <v>0</v>
      </c>
      <c r="Z8" s="58"/>
      <c r="AA8" s="58"/>
      <c r="AB8" s="58">
        <f>SUM(Twirling_Solo_Program28910111213141516171852535455565758606163656768697273742[[#This Row],[Total]]-Twirling_Solo_Program28910111213141516171852535455565758606163656768697273742[[#This Row],[Low]]-Twirling_Solo_Program28910111213141516171852535455565758606163656768697273742[[#This Row],[High]])</f>
        <v>0</v>
      </c>
      <c r="AC8" s="58">
        <f t="shared" si="0"/>
        <v>0</v>
      </c>
      <c r="AD8" s="60">
        <f>Twirling_Solo_Program28910111213141516171852535455565758606163656768697273742[[#This Row],[Final Total]]</f>
        <v>0</v>
      </c>
      <c r="AE8" s="61">
        <f>COUNTIFS(Twirling_Solo_Program28910111213141516171852535455565758606163656768697273742[Age
Division],Twirling_Solo_Program28910111213141516171852535455565758606163656768697273742[[#This Row],[Age
Division]],Twirling_Solo_Program28910111213141516171852535455565758606163656768697273742[Category],Twirling_Solo_Program28910111213141516171852535455565758606163656768697273742[[#This Row],[Category]],Twirling_Solo_Program28910111213141516171852535455565758606163656768697273742[FINAL SCORE],"&gt;"&amp;Twirling_Solo_Program28910111213141516171852535455565758606163656768697273742[[#This Row],[FINAL SCORE]])+1</f>
        <v>7</v>
      </c>
      <c r="AF8" s="29" t="s">
        <v>35</v>
      </c>
    </row>
  </sheetData>
  <sheetProtection algorithmName="SHA-512" hashValue="Qityjx1S6nDXI5lbfGgVE+tEek8uG1dAzfWWqeZe+Fp7wtfOtspGwZ3ArwvhzWY3Gv4oCn7NTn8u18BO/8j7bg==" saltValue="W+JRw72cW8tHwS8+s9ksug==" spinCount="100000" sheet="1" objects="1" scenarios="1" formatColumns="0" formatRows="0" autoFilter="0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"/>
  <sheetViews>
    <sheetView zoomScale="80" zoomScaleNormal="80" workbookViewId="0">
      <pane ySplit="1" topLeftCell="A2" activePane="bottomLeft" state="frozen"/>
      <selection pane="bottomLeft" activeCell="AB3" sqref="AB3"/>
    </sheetView>
  </sheetViews>
  <sheetFormatPr defaultColWidth="9.140625" defaultRowHeight="16.5" x14ac:dyDescent="0.3"/>
  <cols>
    <col min="1" max="2" width="5.85546875" style="27" customWidth="1"/>
    <col min="3" max="3" width="11.42578125" style="27" customWidth="1"/>
    <col min="4" max="4" width="7.140625" style="28" customWidth="1"/>
    <col min="5" max="5" width="12.7109375" style="28" customWidth="1"/>
    <col min="6" max="6" width="20.7109375" style="18" customWidth="1"/>
    <col min="7" max="7" width="43.28515625" style="18" customWidth="1"/>
    <col min="8" max="8" width="9.7109375" style="18" bestFit="1" customWidth="1"/>
    <col min="9" max="12" width="9.140625" style="18" customWidth="1"/>
    <col min="13" max="16" width="9.140625" style="18" hidden="1" customWidth="1"/>
    <col min="17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5.285156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9</v>
      </c>
      <c r="B2" s="17">
        <v>1</v>
      </c>
      <c r="C2" s="17" t="s">
        <v>49</v>
      </c>
      <c r="D2" s="17" t="s">
        <v>23</v>
      </c>
      <c r="E2" s="17" t="s">
        <v>50</v>
      </c>
      <c r="F2" s="17" t="s">
        <v>59</v>
      </c>
      <c r="G2" s="17" t="s">
        <v>58</v>
      </c>
      <c r="H2" s="18" t="s">
        <v>25</v>
      </c>
      <c r="I2" s="19">
        <v>21.7</v>
      </c>
      <c r="J2" s="20">
        <v>0</v>
      </c>
      <c r="K2" s="21">
        <f>Twirling_Solo_Program28910111213141516171851[[#This Row],[Judge 1
Tamara Beljak]]-J2</f>
        <v>21.7</v>
      </c>
      <c r="L2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Row],[Category]],Twirling_Solo_Program28910111213141516171851[J1 TOTAL],"&gt;"&amp;Twirling_Solo_Program28910111213141516171851[[#This Row],[J1 TOTAL]])+1</f>
        <v>1</v>
      </c>
      <c r="M2" s="19"/>
      <c r="N2" s="20"/>
      <c r="O2" s="21">
        <f>Twirling_Solo_Program28910111213141516171851[[#This Row],[Judge 2
Tihomir Bendelja]]-Twirling_Solo_Program28910111213141516171851[[#This Row],[J2 (-)]]</f>
        <v>0</v>
      </c>
      <c r="P2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Row],[Category]],Twirling_Solo_Program28910111213141516171851[J2 TOTAL],"&gt;"&amp;Twirling_Solo_Program28910111213141516171851[[#This Row],[J2 TOTAL]])+1</f>
        <v>1</v>
      </c>
      <c r="Q2" s="19">
        <v>20.8</v>
      </c>
      <c r="R2" s="20">
        <v>0</v>
      </c>
      <c r="S2" s="21">
        <f>Twirling_Solo_Program28910111213141516171851[[#This Row],[Judge 3
Barbara Novina]]-R2</f>
        <v>20.8</v>
      </c>
      <c r="T2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Row],[Category]],Twirling_Solo_Program28910111213141516171851[J3 TOTAL],"&gt;"&amp;Twirling_Solo_Program28910111213141516171851[[#This Row],[J3 TOTAL]])+1</f>
        <v>1</v>
      </c>
      <c r="U2" s="19"/>
      <c r="V2" s="20"/>
      <c r="W2" s="21">
        <f>Twirling_Solo_Program28910111213141516171851[[#This Row],[Judge 4
Bernard Barač]]-V2</f>
        <v>0</v>
      </c>
      <c r="X2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Row],[Category]],Twirling_Solo_Program28910111213141516171851[J4 TOTAL],"&gt;"&amp;Twirling_Solo_Program28910111213141516171851[[#This Row],[J4 TOTAL]])+1</f>
        <v>1</v>
      </c>
      <c r="Y2" s="23">
        <f>SUM(Twirling_Solo_Program28910111213141516171851[[#This Row],[J1 TOTAL]]+Twirling_Solo_Program28910111213141516171851[[#This Row],[J2 TOTAL]]+Twirling_Solo_Program28910111213141516171851[[#This Row],[J3 TOTAL]]+Twirling_Solo_Program28910111213141516171851[[#This Row],[J4 TOTAL]])</f>
        <v>42.5</v>
      </c>
      <c r="Z2" s="23"/>
      <c r="AA2" s="23"/>
      <c r="AB2" s="23">
        <f>SUM(Twirling_Solo_Program28910111213141516171851[[#This Row],[Total]]-Twirling_Solo_Program28910111213141516171851[[#This Row],[Low]]-Twirling_Solo_Program28910111213141516171851[[#This Row],[High]])</f>
        <v>42.5</v>
      </c>
      <c r="AC2" s="23">
        <f>AVERAGE(I2,M2,Q2,U2)</f>
        <v>21.25</v>
      </c>
      <c r="AD2" s="24">
        <f>Twirling_Solo_Program28910111213141516171851[[#This Row],[Final Total]]</f>
        <v>42.5</v>
      </c>
      <c r="AE2" s="25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Row],[Category]],Twirling_Solo_Program28910111213141516171851[FINAL SCORE],"&gt;"&amp;Twirling_Solo_Program28910111213141516171851[[#This Row],[FINAL SCORE]])+1</f>
        <v>1</v>
      </c>
      <c r="AF2" s="16" t="s">
        <v>35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x14ac:dyDescent="0.3">
      <c r="A3" s="16">
        <v>7</v>
      </c>
      <c r="B3" s="17">
        <v>1</v>
      </c>
      <c r="C3" s="17" t="s">
        <v>49</v>
      </c>
      <c r="D3" s="17" t="s">
        <v>23</v>
      </c>
      <c r="E3" s="17" t="s">
        <v>50</v>
      </c>
      <c r="F3" s="17" t="s">
        <v>57</v>
      </c>
      <c r="G3" s="17" t="s">
        <v>58</v>
      </c>
      <c r="H3" s="18" t="s">
        <v>25</v>
      </c>
      <c r="I3" s="19">
        <v>18.3</v>
      </c>
      <c r="J3" s="20">
        <v>0.4</v>
      </c>
      <c r="K3" s="21">
        <f>Twirling_Solo_Program28910111213141516171851[[#This Row],[Judge 1
Tamara Beljak]]-J3</f>
        <v>17.900000000000002</v>
      </c>
      <c r="L3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Row],[Category]],Twirling_Solo_Program28910111213141516171851[J1 TOTAL],"&gt;"&amp;Twirling_Solo_Program28910111213141516171851[[#This Row],[J1 TOTAL]])+1</f>
        <v>2</v>
      </c>
      <c r="M3" s="19"/>
      <c r="N3" s="20"/>
      <c r="O3" s="21">
        <f>Twirling_Solo_Program28910111213141516171851[[#This Row],[Judge 2
Tihomir Bendelja]]-Twirling_Solo_Program28910111213141516171851[[#This Row],[J2 (-)]]</f>
        <v>0</v>
      </c>
      <c r="P3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Row],[Category]],Twirling_Solo_Program28910111213141516171851[J2 TOTAL],"&gt;"&amp;Twirling_Solo_Program28910111213141516171851[[#This Row],[J2 TOTAL]])+1</f>
        <v>1</v>
      </c>
      <c r="Q3" s="19">
        <v>16.399999999999999</v>
      </c>
      <c r="R3" s="20">
        <v>0.4</v>
      </c>
      <c r="S3" s="21">
        <f>Twirling_Solo_Program28910111213141516171851[[#This Row],[Judge 3
Barbara Novina]]-R3</f>
        <v>15.999999999999998</v>
      </c>
      <c r="T3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Row],[Category]],Twirling_Solo_Program28910111213141516171851[J3 TOTAL],"&gt;"&amp;Twirling_Solo_Program28910111213141516171851[[#This Row],[J3 TOTAL]])+1</f>
        <v>2</v>
      </c>
      <c r="U3" s="19"/>
      <c r="V3" s="20"/>
      <c r="W3" s="21">
        <f>Twirling_Solo_Program28910111213141516171851[[#This Row],[Judge 4
Bernard Barač]]-V3</f>
        <v>0</v>
      </c>
      <c r="X3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Row],[Category]],Twirling_Solo_Program28910111213141516171851[J4 TOTAL],"&gt;"&amp;Twirling_Solo_Program28910111213141516171851[[#This Row],[J4 TOTAL]])+1</f>
        <v>1</v>
      </c>
      <c r="Y3" s="23">
        <f>SUM(Twirling_Solo_Program28910111213141516171851[[#This Row],[J1 TOTAL]]+Twirling_Solo_Program28910111213141516171851[[#This Row],[J2 TOTAL]]+Twirling_Solo_Program28910111213141516171851[[#This Row],[J3 TOTAL]]+Twirling_Solo_Program28910111213141516171851[[#This Row],[J4 TOTAL]])</f>
        <v>33.9</v>
      </c>
      <c r="Z3" s="23"/>
      <c r="AA3" s="23"/>
      <c r="AB3" s="23">
        <f>SUM(Twirling_Solo_Program28910111213141516171851[[#This Row],[Total]]-Twirling_Solo_Program28910111213141516171851[[#This Row],[Low]]-Twirling_Solo_Program28910111213141516171851[[#This Row],[High]])</f>
        <v>33.9</v>
      </c>
      <c r="AC3" s="23">
        <f>AVERAGE(I3,M3,Q3,U3)</f>
        <v>17.350000000000001</v>
      </c>
      <c r="AD3" s="24">
        <f>Twirling_Solo_Program28910111213141516171851[[#This Row],[Final Total]]</f>
        <v>33.9</v>
      </c>
      <c r="AE3" s="25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Row],[Category]],Twirling_Solo_Program28910111213141516171851[FINAL SCORE],"&gt;"&amp;Twirling_Solo_Program28910111213141516171851[[#This Row],[FINAL SCORE]])+1</f>
        <v>2</v>
      </c>
      <c r="AF3" s="16" t="s">
        <v>35</v>
      </c>
    </row>
    <row r="4" spans="1:51" x14ac:dyDescent="0.3">
      <c r="A4" s="16">
        <v>5</v>
      </c>
      <c r="B4" s="17">
        <v>1</v>
      </c>
      <c r="C4" s="17" t="s">
        <v>49</v>
      </c>
      <c r="D4" s="17" t="s">
        <v>23</v>
      </c>
      <c r="E4" s="17" t="s">
        <v>50</v>
      </c>
      <c r="F4" s="17" t="s">
        <v>55</v>
      </c>
      <c r="G4" s="17" t="s">
        <v>56</v>
      </c>
      <c r="H4" s="18" t="s">
        <v>25</v>
      </c>
      <c r="I4" s="19">
        <v>15.8</v>
      </c>
      <c r="J4" s="20">
        <v>0.5</v>
      </c>
      <c r="K4" s="21">
        <f>Twirling_Solo_Program28910111213141516171851[[#This Row],[Judge 1
Tamara Beljak]]-J4</f>
        <v>15.3</v>
      </c>
      <c r="L4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Row],[Category]],Twirling_Solo_Program28910111213141516171851[J1 TOTAL],"&gt;"&amp;Twirling_Solo_Program28910111213141516171851[[#This Row],[J1 TOTAL]])+1</f>
        <v>3</v>
      </c>
      <c r="M4" s="19"/>
      <c r="N4" s="20"/>
      <c r="O4" s="21">
        <f>Twirling_Solo_Program28910111213141516171851[[#This Row],[Judge 2
Tihomir Bendelja]]-Twirling_Solo_Program28910111213141516171851[[#This Row],[J2 (-)]]</f>
        <v>0</v>
      </c>
      <c r="P4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Row],[Category]],Twirling_Solo_Program28910111213141516171851[J2 TOTAL],"&gt;"&amp;Twirling_Solo_Program28910111213141516171851[[#This Row],[J2 TOTAL]])+1</f>
        <v>1</v>
      </c>
      <c r="Q4" s="19">
        <v>15.3</v>
      </c>
      <c r="R4" s="20">
        <v>0.5</v>
      </c>
      <c r="S4" s="21">
        <f>Twirling_Solo_Program28910111213141516171851[[#This Row],[Judge 3
Barbara Novina]]-R4</f>
        <v>14.8</v>
      </c>
      <c r="T4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Row],[Category]],Twirling_Solo_Program28910111213141516171851[J3 TOTAL],"&gt;"&amp;Twirling_Solo_Program28910111213141516171851[[#This Row],[J3 TOTAL]])+1</f>
        <v>3</v>
      </c>
      <c r="U4" s="19"/>
      <c r="V4" s="20"/>
      <c r="W4" s="21">
        <f>Twirling_Solo_Program28910111213141516171851[[#This Row],[Judge 4
Bernard Barač]]-V4</f>
        <v>0</v>
      </c>
      <c r="X4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Row],[Category]],Twirling_Solo_Program28910111213141516171851[J4 TOTAL],"&gt;"&amp;Twirling_Solo_Program28910111213141516171851[[#This Row],[J4 TOTAL]])+1</f>
        <v>1</v>
      </c>
      <c r="Y4" s="23">
        <f>SUM(Twirling_Solo_Program28910111213141516171851[[#This Row],[J1 TOTAL]]+Twirling_Solo_Program28910111213141516171851[[#This Row],[J2 TOTAL]]+Twirling_Solo_Program28910111213141516171851[[#This Row],[J3 TOTAL]]+Twirling_Solo_Program28910111213141516171851[[#This Row],[J4 TOTAL]])</f>
        <v>30.1</v>
      </c>
      <c r="Z4" s="23"/>
      <c r="AA4" s="23"/>
      <c r="AB4" s="23">
        <f>SUM(Twirling_Solo_Program28910111213141516171851[[#This Row],[Total]]-Twirling_Solo_Program28910111213141516171851[[#This Row],[Low]]-Twirling_Solo_Program28910111213141516171851[[#This Row],[High]])</f>
        <v>30.1</v>
      </c>
      <c r="AC4" s="23">
        <f>AVERAGE(I4,M4,Q4,U4)</f>
        <v>15.55</v>
      </c>
      <c r="AD4" s="24">
        <f>Twirling_Solo_Program28910111213141516171851[[#This Row],[Final Total]]</f>
        <v>30.1</v>
      </c>
      <c r="AE4" s="25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Row],[Category]],Twirling_Solo_Program28910111213141516171851[FINAL SCORE],"&gt;"&amp;Twirling_Solo_Program28910111213141516171851[[#This Row],[FINAL SCORE]])+1</f>
        <v>3</v>
      </c>
      <c r="AF4" s="16" t="s">
        <v>35</v>
      </c>
    </row>
    <row r="5" spans="1:51" x14ac:dyDescent="0.3">
      <c r="A5" s="16">
        <v>1</v>
      </c>
      <c r="B5" s="17">
        <v>1</v>
      </c>
      <c r="C5" s="17" t="s">
        <v>49</v>
      </c>
      <c r="D5" s="17" t="s">
        <v>23</v>
      </c>
      <c r="E5" s="17" t="s">
        <v>50</v>
      </c>
      <c r="F5" s="17" t="s">
        <v>51</v>
      </c>
      <c r="G5" s="17" t="s">
        <v>52</v>
      </c>
      <c r="H5" s="18" t="s">
        <v>25</v>
      </c>
      <c r="I5" s="19">
        <v>13</v>
      </c>
      <c r="J5" s="20">
        <v>0.1</v>
      </c>
      <c r="K5" s="21">
        <f>Twirling_Solo_Program28910111213141516171851[[#This Row],[Judge 1
Tamara Beljak]]-J5</f>
        <v>12.9</v>
      </c>
      <c r="L5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Row],[Category]],Twirling_Solo_Program28910111213141516171851[J1 TOTAL],"&gt;"&amp;Twirling_Solo_Program28910111213141516171851[[#This Row],[J1 TOTAL]])+1</f>
        <v>4</v>
      </c>
      <c r="M5" s="19"/>
      <c r="N5" s="20"/>
      <c r="O5" s="21">
        <f>Twirling_Solo_Program28910111213141516171851[[#This Row],[Judge 2
Tihomir Bendelja]]-Twirling_Solo_Program28910111213141516171851[[#This Row],[J2 (-)]]</f>
        <v>0</v>
      </c>
      <c r="P5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Row],[Category]],Twirling_Solo_Program28910111213141516171851[J2 TOTAL],"&gt;"&amp;Twirling_Solo_Program28910111213141516171851[[#This Row],[J2 TOTAL]])+1</f>
        <v>1</v>
      </c>
      <c r="Q5" s="19">
        <v>12</v>
      </c>
      <c r="R5" s="20">
        <v>0.1</v>
      </c>
      <c r="S5" s="21">
        <f>Twirling_Solo_Program28910111213141516171851[[#This Row],[Judge 3
Barbara Novina]]-R5</f>
        <v>11.9</v>
      </c>
      <c r="T5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Row],[Category]],Twirling_Solo_Program28910111213141516171851[J3 TOTAL],"&gt;"&amp;Twirling_Solo_Program28910111213141516171851[[#This Row],[J3 TOTAL]])+1</f>
        <v>4</v>
      </c>
      <c r="U5" s="19"/>
      <c r="V5" s="20"/>
      <c r="W5" s="21">
        <f>Twirling_Solo_Program28910111213141516171851[[#This Row],[Judge 4
Bernard Barač]]-V5</f>
        <v>0</v>
      </c>
      <c r="X5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Row],[Category]],Twirling_Solo_Program28910111213141516171851[J4 TOTAL],"&gt;"&amp;Twirling_Solo_Program28910111213141516171851[[#This Row],[J4 TOTAL]])+1</f>
        <v>1</v>
      </c>
      <c r="Y5" s="23">
        <f>SUM(Twirling_Solo_Program28910111213141516171851[[#This Row],[J1 TOTAL]]+Twirling_Solo_Program28910111213141516171851[[#This Row],[J2 TOTAL]]+Twirling_Solo_Program28910111213141516171851[[#This Row],[J3 TOTAL]]+Twirling_Solo_Program28910111213141516171851[[#This Row],[J4 TOTAL]])</f>
        <v>24.8</v>
      </c>
      <c r="Z5" s="23"/>
      <c r="AA5" s="23"/>
      <c r="AB5" s="23">
        <f>SUM(Twirling_Solo_Program28910111213141516171851[[#This Row],[Total]]-Twirling_Solo_Program28910111213141516171851[[#This Row],[Low]]-Twirling_Solo_Program28910111213141516171851[[#This Row],[High]])</f>
        <v>24.8</v>
      </c>
      <c r="AC5" s="23">
        <f>AVERAGE(I5,M5,Q5,U5)</f>
        <v>12.5</v>
      </c>
      <c r="AD5" s="24">
        <f>Twirling_Solo_Program28910111213141516171851[[#This Row],[Final Total]]</f>
        <v>24.8</v>
      </c>
      <c r="AE5" s="26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Row],[Category]],Twirling_Solo_Program28910111213141516171851[FINAL SCORE],"&gt;"&amp;Twirling_Solo_Program28910111213141516171851[[#This Row],[FINAL SCORE]])+1</f>
        <v>4</v>
      </c>
      <c r="AF5" s="16" t="s">
        <v>35</v>
      </c>
    </row>
    <row r="6" spans="1:51" x14ac:dyDescent="0.3">
      <c r="A6" s="16">
        <v>3</v>
      </c>
      <c r="B6" s="17">
        <v>1</v>
      </c>
      <c r="C6" s="17" t="s">
        <v>49</v>
      </c>
      <c r="D6" s="17" t="s">
        <v>23</v>
      </c>
      <c r="E6" s="17" t="s">
        <v>50</v>
      </c>
      <c r="F6" s="17" t="s">
        <v>53</v>
      </c>
      <c r="G6" s="17" t="s">
        <v>54</v>
      </c>
      <c r="H6" s="18" t="s">
        <v>28</v>
      </c>
      <c r="I6" s="19">
        <v>7.1</v>
      </c>
      <c r="J6" s="20">
        <v>1</v>
      </c>
      <c r="K6" s="21">
        <f>Twirling_Solo_Program28910111213141516171851[[#This Row],[Judge 1
Tamara Beljak]]-J6</f>
        <v>6.1</v>
      </c>
      <c r="L6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Row],[Category]],Twirling_Solo_Program28910111213141516171851[J1 TOTAL],"&gt;"&amp;Twirling_Solo_Program28910111213141516171851[[#This Row],[J1 TOTAL]])+1</f>
        <v>5</v>
      </c>
      <c r="M6" s="19"/>
      <c r="N6" s="20"/>
      <c r="O6" s="21">
        <f>Twirling_Solo_Program28910111213141516171851[[#This Row],[Judge 2
Tihomir Bendelja]]-Twirling_Solo_Program28910111213141516171851[[#This Row],[J2 (-)]]</f>
        <v>0</v>
      </c>
      <c r="P6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Row],[Category]],Twirling_Solo_Program28910111213141516171851[J2 TOTAL],"&gt;"&amp;Twirling_Solo_Program28910111213141516171851[[#This Row],[J2 TOTAL]])+1</f>
        <v>1</v>
      </c>
      <c r="Q6" s="19">
        <v>7</v>
      </c>
      <c r="R6" s="20">
        <v>0.8</v>
      </c>
      <c r="S6" s="21">
        <f>Twirling_Solo_Program28910111213141516171851[[#This Row],[Judge 3
Barbara Novina]]-R6</f>
        <v>6.2</v>
      </c>
      <c r="T6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Row],[Category]],Twirling_Solo_Program28910111213141516171851[J3 TOTAL],"&gt;"&amp;Twirling_Solo_Program28910111213141516171851[[#This Row],[J3 TOTAL]])+1</f>
        <v>5</v>
      </c>
      <c r="U6" s="19"/>
      <c r="V6" s="20"/>
      <c r="W6" s="21">
        <f>Twirling_Solo_Program28910111213141516171851[[#This Row],[Judge 4
Bernard Barač]]-V6</f>
        <v>0</v>
      </c>
      <c r="X6" s="22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Row],[Category]],Twirling_Solo_Program28910111213141516171851[J4 TOTAL],"&gt;"&amp;Twirling_Solo_Program28910111213141516171851[[#This Row],[J4 TOTAL]])+1</f>
        <v>1</v>
      </c>
      <c r="Y6" s="23">
        <f>SUM(Twirling_Solo_Program28910111213141516171851[[#This Row],[J1 TOTAL]]+Twirling_Solo_Program28910111213141516171851[[#This Row],[J2 TOTAL]]+Twirling_Solo_Program28910111213141516171851[[#This Row],[J3 TOTAL]]+Twirling_Solo_Program28910111213141516171851[[#This Row],[J4 TOTAL]])</f>
        <v>12.3</v>
      </c>
      <c r="Z6" s="23"/>
      <c r="AA6" s="23"/>
      <c r="AB6" s="23">
        <f>SUM(Twirling_Solo_Program28910111213141516171851[[#This Row],[Total]]-Twirling_Solo_Program28910111213141516171851[[#This Row],[Low]]-Twirling_Solo_Program28910111213141516171851[[#This Row],[High]])</f>
        <v>12.3</v>
      </c>
      <c r="AC6" s="23">
        <f>AVERAGE(I6,M6,Q6,U6)</f>
        <v>7.05</v>
      </c>
      <c r="AD6" s="24">
        <f>Twirling_Solo_Program28910111213141516171851[[#This Row],[Final Total]]</f>
        <v>12.3</v>
      </c>
      <c r="AE6" s="25">
        <f>COUNTIFS(Twirling_Solo_Program28910111213141516171851[Age
Division],Twirling_Solo_Program28910111213141516171851[[#This Row],[Age
Division]],Twirling_Solo_Program28910111213141516171851[Category],Twirling_Solo_Program28910111213141516171851[[#This Row],[Category]],Twirling_Solo_Program28910111213141516171851[FINAL SCORE],"&gt;"&amp;Twirling_Solo_Program28910111213141516171851[[#This Row],[FINAL SCORE]])+1</f>
        <v>5</v>
      </c>
      <c r="AF6" s="16" t="s">
        <v>35</v>
      </c>
    </row>
  </sheetData>
  <sheetProtection algorithmName="SHA-512" hashValue="0k5L3xqv5/Ph3Xi23Z34SWTL3kngillCXRRsk4nteBM5sKOQTrtvZ7A0B9LLbTk9uZEEhQ1h6fS17ibqcZgNMg==" saltValue="7bcaSJFS+etiVZArlVLm0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Y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1.85546875" style="27" customWidth="1"/>
    <col min="4" max="4" width="9" style="28" customWidth="1"/>
    <col min="5" max="5" width="12.28515625" style="28" customWidth="1"/>
    <col min="6" max="6" width="14.7109375" style="18" customWidth="1"/>
    <col min="7" max="7" width="42.28515625" style="18" customWidth="1"/>
    <col min="8" max="8" width="9.5703125" style="18" customWidth="1"/>
    <col min="9" max="12" width="9.140625" style="18" customWidth="1"/>
    <col min="13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6.8554687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76</v>
      </c>
      <c r="B2" s="17">
        <v>1</v>
      </c>
      <c r="C2" s="17" t="s">
        <v>101</v>
      </c>
      <c r="D2" s="17" t="s">
        <v>27</v>
      </c>
      <c r="E2" s="17" t="s">
        <v>91</v>
      </c>
      <c r="F2" s="17" t="s">
        <v>148</v>
      </c>
      <c r="G2" s="17" t="s">
        <v>58</v>
      </c>
      <c r="H2" s="18" t="s">
        <v>25</v>
      </c>
      <c r="I2" s="19">
        <v>45.5</v>
      </c>
      <c r="J2" s="20">
        <v>2.5</v>
      </c>
      <c r="K2" s="21">
        <f>Twirling_Solo_Program289101112131415161718525354555657586061636567686970[[#This Row],[Judge 1
Tamara Beljak]]-J2</f>
        <v>43</v>
      </c>
      <c r="L2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Row],[Category]],Twirling_Solo_Program289101112131415161718525354555657586061636567686970[J1 TOTAL],"&gt;"&amp;Twirling_Solo_Program289101112131415161718525354555657586061636567686970[[#This Row],[J1 TOTAL]])+1</f>
        <v>1</v>
      </c>
      <c r="M2" s="19"/>
      <c r="N2" s="20"/>
      <c r="O2" s="21">
        <f>Twirling_Solo_Program289101112131415161718525354555657586061636567686970[[#This Row],[Judge 2
Tihomir Bendelja]]-Twirling_Solo_Program289101112131415161718525354555657586061636567686970[[#This Row],[J2 (-)]]</f>
        <v>0</v>
      </c>
      <c r="P2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Row],[Category]],Twirling_Solo_Program289101112131415161718525354555657586061636567686970[J2 TOTAL],"&gt;"&amp;Twirling_Solo_Program289101112131415161718525354555657586061636567686970[[#This Row],[J2 TOTAL]])+1</f>
        <v>1</v>
      </c>
      <c r="Q2" s="19"/>
      <c r="R2" s="20"/>
      <c r="S2" s="21">
        <f>Twirling_Solo_Program289101112131415161718525354555657586061636567686970[[#This Row],[Judge 3
Barbara Novina]]-R2</f>
        <v>0</v>
      </c>
      <c r="T2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Row],[Category]],Twirling_Solo_Program289101112131415161718525354555657586061636567686970[J3 TOTAL],"&gt;"&amp;Twirling_Solo_Program289101112131415161718525354555657586061636567686970[[#This Row],[J3 TOTAL]])+1</f>
        <v>1</v>
      </c>
      <c r="U2" s="19">
        <v>45.2</v>
      </c>
      <c r="V2" s="20">
        <v>2.5</v>
      </c>
      <c r="W2" s="21">
        <f>Twirling_Solo_Program289101112131415161718525354555657586061636567686970[[#This Row],[Judge 4
Bernard Barač]]-V2</f>
        <v>42.7</v>
      </c>
      <c r="X2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Row],[Category]],Twirling_Solo_Program289101112131415161718525354555657586061636567686970[J4 TOTAL],"&gt;"&amp;Twirling_Solo_Program289101112131415161718525354555657586061636567686970[[#This Row],[J4 TOTAL]])+1</f>
        <v>1</v>
      </c>
      <c r="Y2" s="23">
        <f>SUM(Twirling_Solo_Program289101112131415161718525354555657586061636567686970[[#This Row],[J1 TOTAL]]+Twirling_Solo_Program289101112131415161718525354555657586061636567686970[[#This Row],[J2 TOTAL]]+Twirling_Solo_Program289101112131415161718525354555657586061636567686970[[#This Row],[J3 TOTAL]]+Twirling_Solo_Program289101112131415161718525354555657586061636567686970[[#This Row],[J4 TOTAL]])</f>
        <v>85.7</v>
      </c>
      <c r="Z2" s="23"/>
      <c r="AA2" s="23"/>
      <c r="AB2" s="23">
        <f>SUM(Twirling_Solo_Program289101112131415161718525354555657586061636567686970[[#This Row],[Total]]-Twirling_Solo_Program289101112131415161718525354555657586061636567686970[[#This Row],[Low]]-Twirling_Solo_Program289101112131415161718525354555657586061636567686970[[#This Row],[High]])</f>
        <v>85.7</v>
      </c>
      <c r="AC2" s="23">
        <f>AVERAGE(I2,M2,Q2,U2)</f>
        <v>45.35</v>
      </c>
      <c r="AD2" s="24">
        <f>Twirling_Solo_Program289101112131415161718525354555657586061636567686970[[#This Row],[Final Total]]</f>
        <v>85.7</v>
      </c>
      <c r="AE2" s="25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Row],[Category]],Twirling_Solo_Program289101112131415161718525354555657586061636567686970[FINAL SCORE],"&gt;"&amp;Twirling_Solo_Program289101112131415161718525354555657586061636567686970[[#This Row],[FINAL SCORE]])+1</f>
        <v>1</v>
      </c>
      <c r="AF2" s="16" t="s">
        <v>35</v>
      </c>
    </row>
    <row r="3" spans="1:51" x14ac:dyDescent="0.3">
      <c r="A3" s="16">
        <v>78</v>
      </c>
      <c r="B3" s="17">
        <v>1</v>
      </c>
      <c r="C3" s="17" t="s">
        <v>101</v>
      </c>
      <c r="D3" s="17" t="s">
        <v>27</v>
      </c>
      <c r="E3" s="17" t="s">
        <v>91</v>
      </c>
      <c r="F3" s="17" t="s">
        <v>149</v>
      </c>
      <c r="G3" s="17" t="s">
        <v>58</v>
      </c>
      <c r="H3" s="18" t="s">
        <v>25</v>
      </c>
      <c r="I3" s="19">
        <v>44.8</v>
      </c>
      <c r="J3" s="20">
        <v>2.5</v>
      </c>
      <c r="K3" s="21">
        <f>Twirling_Solo_Program289101112131415161718525354555657586061636567686970[[#This Row],[Judge 1
Tamara Beljak]]-J3</f>
        <v>42.3</v>
      </c>
      <c r="L3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Row],[Category]],Twirling_Solo_Program289101112131415161718525354555657586061636567686970[J1 TOTAL],"&gt;"&amp;Twirling_Solo_Program289101112131415161718525354555657586061636567686970[[#This Row],[J1 TOTAL]])+1</f>
        <v>2</v>
      </c>
      <c r="M3" s="19"/>
      <c r="N3" s="20"/>
      <c r="O3" s="21">
        <f>Twirling_Solo_Program289101112131415161718525354555657586061636567686970[[#This Row],[Judge 2
Tihomir Bendelja]]-Twirling_Solo_Program289101112131415161718525354555657586061636567686970[[#This Row],[J2 (-)]]</f>
        <v>0</v>
      </c>
      <c r="P3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Row],[Category]],Twirling_Solo_Program289101112131415161718525354555657586061636567686970[J2 TOTAL],"&gt;"&amp;Twirling_Solo_Program289101112131415161718525354555657586061636567686970[[#This Row],[J2 TOTAL]])+1</f>
        <v>1</v>
      </c>
      <c r="Q3" s="19"/>
      <c r="R3" s="20"/>
      <c r="S3" s="21">
        <f>Twirling_Solo_Program289101112131415161718525354555657586061636567686970[[#This Row],[Judge 3
Barbara Novina]]-R3</f>
        <v>0</v>
      </c>
      <c r="T3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Row],[Category]],Twirling_Solo_Program289101112131415161718525354555657586061636567686970[J3 TOTAL],"&gt;"&amp;Twirling_Solo_Program289101112131415161718525354555657586061636567686970[[#This Row],[J3 TOTAL]])+1</f>
        <v>1</v>
      </c>
      <c r="U3" s="19">
        <v>45.1</v>
      </c>
      <c r="V3" s="20">
        <v>2.5</v>
      </c>
      <c r="W3" s="21">
        <f>Twirling_Solo_Program289101112131415161718525354555657586061636567686970[[#This Row],[Judge 4
Bernard Barač]]-V3</f>
        <v>42.6</v>
      </c>
      <c r="X3" s="22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Row],[Category]],Twirling_Solo_Program289101112131415161718525354555657586061636567686970[J4 TOTAL],"&gt;"&amp;Twirling_Solo_Program289101112131415161718525354555657586061636567686970[[#This Row],[J4 TOTAL]])+1</f>
        <v>2</v>
      </c>
      <c r="Y3" s="23">
        <f>SUM(Twirling_Solo_Program289101112131415161718525354555657586061636567686970[[#This Row],[J1 TOTAL]]+Twirling_Solo_Program289101112131415161718525354555657586061636567686970[[#This Row],[J2 TOTAL]]+Twirling_Solo_Program289101112131415161718525354555657586061636567686970[[#This Row],[J3 TOTAL]]+Twirling_Solo_Program289101112131415161718525354555657586061636567686970[[#This Row],[J4 TOTAL]])</f>
        <v>84.9</v>
      </c>
      <c r="Z3" s="23"/>
      <c r="AA3" s="23"/>
      <c r="AB3" s="23">
        <f>SUM(Twirling_Solo_Program289101112131415161718525354555657586061636567686970[[#This Row],[Total]]-Twirling_Solo_Program289101112131415161718525354555657586061636567686970[[#This Row],[Low]]-Twirling_Solo_Program289101112131415161718525354555657586061636567686970[[#This Row],[High]])</f>
        <v>84.9</v>
      </c>
      <c r="AC3" s="23">
        <f>AVERAGE(I3,M3,Q3,U3)</f>
        <v>44.95</v>
      </c>
      <c r="AD3" s="24">
        <f>Twirling_Solo_Program289101112131415161718525354555657586061636567686970[[#This Row],[Final Total]]</f>
        <v>84.9</v>
      </c>
      <c r="AE3" s="25">
        <f>COUNTIFS(Twirling_Solo_Program289101112131415161718525354555657586061636567686970[Age
Division],Twirling_Solo_Program289101112131415161718525354555657586061636567686970[[#This Row],[Age
Division]],Twirling_Solo_Program289101112131415161718525354555657586061636567686970[Category],Twirling_Solo_Program289101112131415161718525354555657586061636567686970[[#This Row],[Category]],Twirling_Solo_Program289101112131415161718525354555657586061636567686970[FINAL SCORE],"&gt;"&amp;Twirling_Solo_Program289101112131415161718525354555657586061636567686970[[#This Row],[FINAL SCORE]])+1</f>
        <v>2</v>
      </c>
      <c r="AF3" s="16" t="s">
        <v>35</v>
      </c>
    </row>
  </sheetData>
  <sheetProtection algorithmName="SHA-512" hashValue="yawvhukzWtiQ+qiPDrIXNb6ZBnqOPA/57boMkpnL6GjeWfGXEdAACXcEQJ9i8mrJa96F5dMEXJY4ghuVWi/zDA==" saltValue="ca3vW8vpWqrlDkV5q4ik9Q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85546875" style="27" customWidth="1"/>
    <col min="4" max="4" width="9.28515625" style="28" customWidth="1"/>
    <col min="5" max="5" width="9.140625" style="28" customWidth="1"/>
    <col min="6" max="6" width="13.28515625" style="18" customWidth="1"/>
    <col min="7" max="7" width="38.7109375" style="18" customWidth="1"/>
    <col min="8" max="8" width="10.5703125" style="18" customWidth="1"/>
    <col min="9" max="12" width="9.140625" style="18" hidden="1" customWidth="1"/>
    <col min="13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75</v>
      </c>
      <c r="B2" s="17">
        <v>2</v>
      </c>
      <c r="C2" s="17" t="s">
        <v>101</v>
      </c>
      <c r="D2" s="17" t="s">
        <v>29</v>
      </c>
      <c r="E2" s="17" t="s">
        <v>60</v>
      </c>
      <c r="F2" s="17" t="s">
        <v>154</v>
      </c>
      <c r="G2" s="17" t="s">
        <v>52</v>
      </c>
      <c r="H2" s="18" t="s">
        <v>25</v>
      </c>
      <c r="I2" s="19"/>
      <c r="J2" s="20"/>
      <c r="K2" s="21">
        <f>Twirling_Solo_Program28910111213141516171852535455565758606163656771[[#This Row],[Judge 1
Tamara Beljak]]-J2</f>
        <v>0</v>
      </c>
      <c r="L2" s="22">
        <f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Row],[Category]],Twirling_Solo_Program28910111213141516171852535455565758606163656771[J1 TOTAL],"&gt;"&amp;Twirling_Solo_Program28910111213141516171852535455565758606163656771[[#This Row],[J1 TOTAL]])+1</f>
        <v>1</v>
      </c>
      <c r="M2" s="19">
        <v>10.8</v>
      </c>
      <c r="N2" s="20">
        <v>1</v>
      </c>
      <c r="O2" s="21">
        <f>Twirling_Solo_Program28910111213141516171852535455565758606163656771[[#This Row],[Judge 2
Tihomir Bendelja]]-Twirling_Solo_Program28910111213141516171852535455565758606163656771[[#This Row],[J2 (-)]]</f>
        <v>9.8000000000000007</v>
      </c>
      <c r="P2" s="22">
        <f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Row],[Category]],Twirling_Solo_Program28910111213141516171852535455565758606163656771[J2 TOTAL],"&gt;"&amp;Twirling_Solo_Program28910111213141516171852535455565758606163656771[[#This Row],[J2 TOTAL]])+1</f>
        <v>1</v>
      </c>
      <c r="Q2" s="19">
        <v>12.5</v>
      </c>
      <c r="R2" s="20">
        <v>1.5</v>
      </c>
      <c r="S2" s="21">
        <f>Twirling_Solo_Program28910111213141516171852535455565758606163656771[[#This Row],[Judge 3
Barbara Novina]]-R2</f>
        <v>11</v>
      </c>
      <c r="T2" s="22">
        <f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Row],[Category]],Twirling_Solo_Program28910111213141516171852535455565758606163656771[J3 TOTAL],"&gt;"&amp;Twirling_Solo_Program28910111213141516171852535455565758606163656771[[#This Row],[J3 TOTAL]])+1</f>
        <v>1</v>
      </c>
      <c r="U2" s="19"/>
      <c r="V2" s="20"/>
      <c r="W2" s="21">
        <f>Twirling_Solo_Program28910111213141516171852535455565758606163656771[[#This Row],[Judge 4
Bernard Barač]]-V2</f>
        <v>0</v>
      </c>
      <c r="X2" s="22">
        <f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Row],[Category]],Twirling_Solo_Program28910111213141516171852535455565758606163656771[J4 TOTAL],"&gt;"&amp;Twirling_Solo_Program28910111213141516171852535455565758606163656771[[#This Row],[J4 TOTAL]])+1</f>
        <v>1</v>
      </c>
      <c r="Y2" s="23">
        <f>SUM(Twirling_Solo_Program28910111213141516171852535455565758606163656771[[#This Row],[J1 TOTAL]]+Twirling_Solo_Program28910111213141516171852535455565758606163656771[[#This Row],[J2 TOTAL]]+Twirling_Solo_Program28910111213141516171852535455565758606163656771[[#This Row],[J3 TOTAL]]+Twirling_Solo_Program28910111213141516171852535455565758606163656771[[#This Row],[J4 TOTAL]])</f>
        <v>20.8</v>
      </c>
      <c r="Z2" s="23"/>
      <c r="AA2" s="23"/>
      <c r="AB2" s="23">
        <f>SUM(Twirling_Solo_Program28910111213141516171852535455565758606163656771[[#This Row],[Total]]-Twirling_Solo_Program28910111213141516171852535455565758606163656771[[#This Row],[Low]]-Twirling_Solo_Program28910111213141516171852535455565758606163656771[[#This Row],[High]])</f>
        <v>20.8</v>
      </c>
      <c r="AC2" s="23">
        <f>AVERAGE(I2,M2,Q2,U2)</f>
        <v>11.65</v>
      </c>
      <c r="AD2" s="24">
        <f>Twirling_Solo_Program28910111213141516171852535455565758606163656771[[#This Row],[Final Total]]</f>
        <v>20.8</v>
      </c>
      <c r="AE2" s="25">
        <f>COUNTIFS(Twirling_Solo_Program28910111213141516171852535455565758606163656771[Age
Division],Twirling_Solo_Program28910111213141516171852535455565758606163656771[[#This Row],[Age
Division]],Twirling_Solo_Program28910111213141516171852535455565758606163656771[Category],Twirling_Solo_Program28910111213141516171852535455565758606163656771[[#This Row],[Category]],Twirling_Solo_Program28910111213141516171852535455565758606163656771[FINAL SCORE],"&gt;"&amp;Twirling_Solo_Program28910111213141516171852535455565758606163656771[[#This Row],[FINAL SCORE]])+1</f>
        <v>1</v>
      </c>
      <c r="AF2" s="16" t="s">
        <v>35</v>
      </c>
    </row>
  </sheetData>
  <sheetProtection algorithmName="SHA-512" hashValue="eQsF5LOgvbjxnP0yYJFjM2cq+yr0VsiM007n1SY9GShdPZylPf7QjZxdK0K9CeMYfP9NA8B0e/ycbM+rQEIJ4g==" saltValue="xsfFePggHEyPqK9UhJjRD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Y11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1.42578125" style="27" customWidth="1"/>
    <col min="4" max="4" width="8.5703125" style="28" customWidth="1"/>
    <col min="5" max="5" width="11.42578125" style="28" customWidth="1"/>
    <col min="6" max="6" width="16" style="18" customWidth="1"/>
    <col min="7" max="7" width="42" style="18" customWidth="1"/>
    <col min="8" max="8" width="9.5703125" style="18" customWidth="1"/>
    <col min="9" max="16" width="9.140625" style="18" hidden="1" customWidth="1"/>
    <col min="17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1" width="7.5703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107</v>
      </c>
      <c r="B2" s="17">
        <v>2</v>
      </c>
      <c r="C2" s="17" t="s">
        <v>101</v>
      </c>
      <c r="D2" s="17" t="s">
        <v>29</v>
      </c>
      <c r="E2" s="17" t="s">
        <v>50</v>
      </c>
      <c r="F2" s="17" t="s">
        <v>155</v>
      </c>
      <c r="G2" s="17" t="s">
        <v>134</v>
      </c>
      <c r="H2" s="18" t="s">
        <v>25</v>
      </c>
      <c r="I2" s="19"/>
      <c r="J2" s="20"/>
      <c r="K2" s="21">
        <f>Twirling_Solo_Program289101112131415161718525354555657586061636567686972[[#This Row],[Judge 1
Tamara Beljak]]-J2</f>
        <v>0</v>
      </c>
      <c r="L2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2" s="19"/>
      <c r="N2" s="20"/>
      <c r="O2" s="21">
        <f>Twirling_Solo_Program289101112131415161718525354555657586061636567686972[[#This Row],[Judge 2
Tihomir Bendelja]]-Twirling_Solo_Program289101112131415161718525354555657586061636567686972[[#This Row],[J2 (-)]]</f>
        <v>0</v>
      </c>
      <c r="P2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2" s="19">
        <v>22.6</v>
      </c>
      <c r="R2" s="20">
        <v>1</v>
      </c>
      <c r="S2" s="21">
        <f>Twirling_Solo_Program289101112131415161718525354555657586061636567686972[[#This Row],[Judge 3
Barbara Novina]]-R2</f>
        <v>21.6</v>
      </c>
      <c r="T2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1</v>
      </c>
      <c r="U2" s="19">
        <v>22.8</v>
      </c>
      <c r="V2" s="20">
        <v>1</v>
      </c>
      <c r="W2" s="21">
        <f>Twirling_Solo_Program289101112131415161718525354555657586061636567686972[[#This Row],[Judge 4
Bernard Barač]]-V2</f>
        <v>21.8</v>
      </c>
      <c r="X2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1</v>
      </c>
      <c r="Y2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43.400000000000006</v>
      </c>
      <c r="Z2" s="23"/>
      <c r="AA2" s="23"/>
      <c r="AB2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43.400000000000006</v>
      </c>
      <c r="AC2" s="23">
        <f t="shared" ref="AC2:AC10" si="0">AVERAGE(I2,M2,Q2,U2)</f>
        <v>22.700000000000003</v>
      </c>
      <c r="AD2" s="24">
        <f>Twirling_Solo_Program289101112131415161718525354555657586061636567686972[[#This Row],[Final Total]]</f>
        <v>43.400000000000006</v>
      </c>
      <c r="AE2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1</v>
      </c>
      <c r="AF2" s="16" t="s">
        <v>35</v>
      </c>
    </row>
    <row r="3" spans="1:51" x14ac:dyDescent="0.3">
      <c r="A3" s="16">
        <v>122</v>
      </c>
      <c r="B3" s="17">
        <v>2</v>
      </c>
      <c r="C3" s="17" t="s">
        <v>101</v>
      </c>
      <c r="D3" s="17" t="s">
        <v>29</v>
      </c>
      <c r="E3" s="17" t="s">
        <v>50</v>
      </c>
      <c r="F3" s="17" t="s">
        <v>90</v>
      </c>
      <c r="G3" s="17" t="s">
        <v>56</v>
      </c>
      <c r="H3" s="18" t="s">
        <v>25</v>
      </c>
      <c r="I3" s="19"/>
      <c r="J3" s="20"/>
      <c r="K3" s="21">
        <f>Twirling_Solo_Program289101112131415161718525354555657586061636567686972[[#This Row],[Judge 1
Tamara Beljak]]-J3</f>
        <v>0</v>
      </c>
      <c r="L3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3" s="19"/>
      <c r="N3" s="20"/>
      <c r="O3" s="21">
        <f>Twirling_Solo_Program289101112131415161718525354555657586061636567686972[[#This Row],[Judge 2
Tihomir Bendelja]]-Twirling_Solo_Program289101112131415161718525354555657586061636567686972[[#This Row],[J2 (-)]]</f>
        <v>0</v>
      </c>
      <c r="P3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3" s="19">
        <v>20.399999999999999</v>
      </c>
      <c r="R3" s="20">
        <v>1.5</v>
      </c>
      <c r="S3" s="21">
        <f>Twirling_Solo_Program289101112131415161718525354555657586061636567686972[[#This Row],[Judge 3
Barbara Novina]]-R3</f>
        <v>18.899999999999999</v>
      </c>
      <c r="T3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2</v>
      </c>
      <c r="U3" s="19">
        <v>21.3</v>
      </c>
      <c r="V3" s="20">
        <v>1.5</v>
      </c>
      <c r="W3" s="21">
        <f>Twirling_Solo_Program289101112131415161718525354555657586061636567686972[[#This Row],[Judge 4
Bernard Barač]]-V3</f>
        <v>19.8</v>
      </c>
      <c r="X3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2</v>
      </c>
      <c r="Y3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38.700000000000003</v>
      </c>
      <c r="Z3" s="23"/>
      <c r="AA3" s="23"/>
      <c r="AB3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38.700000000000003</v>
      </c>
      <c r="AC3" s="23">
        <f t="shared" si="0"/>
        <v>20.85</v>
      </c>
      <c r="AD3" s="24">
        <f>Twirling_Solo_Program289101112131415161718525354555657586061636567686972[[#This Row],[Final Total]]</f>
        <v>38.700000000000003</v>
      </c>
      <c r="AE3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2</v>
      </c>
      <c r="AF3" s="16" t="s">
        <v>35</v>
      </c>
    </row>
    <row r="4" spans="1:51" x14ac:dyDescent="0.3">
      <c r="A4" s="16">
        <v>113</v>
      </c>
      <c r="B4" s="17">
        <v>2</v>
      </c>
      <c r="C4" s="17" t="s">
        <v>101</v>
      </c>
      <c r="D4" s="17" t="s">
        <v>29</v>
      </c>
      <c r="E4" s="17" t="s">
        <v>50</v>
      </c>
      <c r="F4" s="17" t="s">
        <v>157</v>
      </c>
      <c r="G4" s="17" t="s">
        <v>73</v>
      </c>
      <c r="H4" s="18" t="s">
        <v>25</v>
      </c>
      <c r="I4" s="19"/>
      <c r="J4" s="20"/>
      <c r="K4" s="21">
        <f>Twirling_Solo_Program289101112131415161718525354555657586061636567686972[[#This Row],[Judge 1
Tamara Beljak]]-J4</f>
        <v>0</v>
      </c>
      <c r="L4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4" s="19"/>
      <c r="N4" s="20"/>
      <c r="O4" s="21">
        <f>Twirling_Solo_Program289101112131415161718525354555657586061636567686972[[#This Row],[Judge 2
Tihomir Bendelja]]-Twirling_Solo_Program289101112131415161718525354555657586061636567686972[[#This Row],[J2 (-)]]</f>
        <v>0</v>
      </c>
      <c r="P4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4" s="19">
        <v>19.100000000000001</v>
      </c>
      <c r="R4" s="20">
        <v>0.5</v>
      </c>
      <c r="S4" s="21">
        <f>Twirling_Solo_Program289101112131415161718525354555657586061636567686972[[#This Row],[Judge 3
Barbara Novina]]-R4</f>
        <v>18.600000000000001</v>
      </c>
      <c r="T4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3</v>
      </c>
      <c r="U4" s="19">
        <v>20.100000000000001</v>
      </c>
      <c r="V4" s="20">
        <v>0.5</v>
      </c>
      <c r="W4" s="21">
        <f>Twirling_Solo_Program289101112131415161718525354555657586061636567686972[[#This Row],[Judge 4
Bernard Barač]]-V4</f>
        <v>19.600000000000001</v>
      </c>
      <c r="X4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3</v>
      </c>
      <c r="Y4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38.200000000000003</v>
      </c>
      <c r="Z4" s="23"/>
      <c r="AA4" s="23"/>
      <c r="AB4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38.200000000000003</v>
      </c>
      <c r="AC4" s="23">
        <f t="shared" si="0"/>
        <v>19.600000000000001</v>
      </c>
      <c r="AD4" s="24">
        <f>Twirling_Solo_Program289101112131415161718525354555657586061636567686972[[#This Row],[Final Total]]</f>
        <v>38.200000000000003</v>
      </c>
      <c r="AE4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3</v>
      </c>
      <c r="AF4" s="16" t="s">
        <v>35</v>
      </c>
    </row>
    <row r="5" spans="1:51" x14ac:dyDescent="0.3">
      <c r="A5" s="16">
        <v>115</v>
      </c>
      <c r="B5" s="17">
        <v>2</v>
      </c>
      <c r="C5" s="17" t="s">
        <v>101</v>
      </c>
      <c r="D5" s="17" t="s">
        <v>29</v>
      </c>
      <c r="E5" s="17" t="s">
        <v>50</v>
      </c>
      <c r="F5" s="17" t="s">
        <v>158</v>
      </c>
      <c r="G5" s="17" t="s">
        <v>159</v>
      </c>
      <c r="H5" s="18" t="s">
        <v>28</v>
      </c>
      <c r="I5" s="19"/>
      <c r="J5" s="20"/>
      <c r="K5" s="21">
        <f>Twirling_Solo_Program289101112131415161718525354555657586061636567686972[[#This Row],[Judge 1
Tamara Beljak]]-J5</f>
        <v>0</v>
      </c>
      <c r="L5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5" s="19"/>
      <c r="N5" s="20"/>
      <c r="O5" s="21">
        <f>Twirling_Solo_Program289101112131415161718525354555657586061636567686972[[#This Row],[Judge 2
Tihomir Bendelja]]-Twirling_Solo_Program289101112131415161718525354555657586061636567686972[[#This Row],[J2 (-)]]</f>
        <v>0</v>
      </c>
      <c r="P5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5" s="19">
        <v>15.6</v>
      </c>
      <c r="R5" s="20">
        <v>0</v>
      </c>
      <c r="S5" s="21">
        <f>Twirling_Solo_Program289101112131415161718525354555657586061636567686972[[#This Row],[Judge 3
Barbara Novina]]-R5</f>
        <v>15.6</v>
      </c>
      <c r="T5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4</v>
      </c>
      <c r="U5" s="19">
        <v>16.5</v>
      </c>
      <c r="V5" s="20">
        <v>0</v>
      </c>
      <c r="W5" s="21">
        <f>Twirling_Solo_Program289101112131415161718525354555657586061636567686972[[#This Row],[Judge 4
Bernard Barač]]-V5</f>
        <v>16.5</v>
      </c>
      <c r="X5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4</v>
      </c>
      <c r="Y5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32.1</v>
      </c>
      <c r="Z5" s="23"/>
      <c r="AA5" s="23"/>
      <c r="AB5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32.1</v>
      </c>
      <c r="AC5" s="23">
        <f t="shared" si="0"/>
        <v>16.05</v>
      </c>
      <c r="AD5" s="24">
        <f>Twirling_Solo_Program289101112131415161718525354555657586061636567686972[[#This Row],[Final Total]]</f>
        <v>32.1</v>
      </c>
      <c r="AE5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4</v>
      </c>
      <c r="AF5" s="16" t="s">
        <v>35</v>
      </c>
    </row>
    <row r="6" spans="1:51" x14ac:dyDescent="0.3">
      <c r="A6" s="16">
        <v>119</v>
      </c>
      <c r="B6" s="17">
        <v>2</v>
      </c>
      <c r="C6" s="17" t="s">
        <v>101</v>
      </c>
      <c r="D6" s="17" t="s">
        <v>29</v>
      </c>
      <c r="E6" s="17" t="s">
        <v>50</v>
      </c>
      <c r="F6" s="17" t="s">
        <v>161</v>
      </c>
      <c r="G6" s="17" t="s">
        <v>33</v>
      </c>
      <c r="H6" s="18" t="s">
        <v>28</v>
      </c>
      <c r="I6" s="19"/>
      <c r="J6" s="20"/>
      <c r="K6" s="21">
        <f>Twirling_Solo_Program289101112131415161718525354555657586061636567686972[[#This Row],[Judge 1
Tamara Beljak]]-J6</f>
        <v>0</v>
      </c>
      <c r="L6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6" s="19"/>
      <c r="N6" s="20"/>
      <c r="O6" s="21">
        <f>Twirling_Solo_Program289101112131415161718525354555657586061636567686972[[#This Row],[Judge 2
Tihomir Bendelja]]-Twirling_Solo_Program289101112131415161718525354555657586061636567686972[[#This Row],[J2 (-)]]</f>
        <v>0</v>
      </c>
      <c r="P6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6" s="19">
        <v>15.3</v>
      </c>
      <c r="R6" s="20">
        <v>1.5</v>
      </c>
      <c r="S6" s="21">
        <f>Twirling_Solo_Program289101112131415161718525354555657586061636567686972[[#This Row],[Judge 3
Barbara Novina]]-R6</f>
        <v>13.8</v>
      </c>
      <c r="T6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5</v>
      </c>
      <c r="U6" s="19">
        <v>17</v>
      </c>
      <c r="V6" s="20">
        <v>1.5</v>
      </c>
      <c r="W6" s="21">
        <f>Twirling_Solo_Program289101112131415161718525354555657586061636567686972[[#This Row],[Judge 4
Bernard Barač]]-V6</f>
        <v>15.5</v>
      </c>
      <c r="X6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5</v>
      </c>
      <c r="Y6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29.3</v>
      </c>
      <c r="Z6" s="23"/>
      <c r="AA6" s="23"/>
      <c r="AB6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29.3</v>
      </c>
      <c r="AC6" s="23">
        <f t="shared" si="0"/>
        <v>16.149999999999999</v>
      </c>
      <c r="AD6" s="24">
        <f>Twirling_Solo_Program289101112131415161718525354555657586061636567686972[[#This Row],[Final Total]]</f>
        <v>29.3</v>
      </c>
      <c r="AE6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5</v>
      </c>
      <c r="AF6" s="16" t="s">
        <v>35</v>
      </c>
    </row>
    <row r="7" spans="1:51" x14ac:dyDescent="0.3">
      <c r="A7" s="16">
        <v>117</v>
      </c>
      <c r="B7" s="17">
        <v>2</v>
      </c>
      <c r="C7" s="17" t="s">
        <v>101</v>
      </c>
      <c r="D7" s="17" t="s">
        <v>29</v>
      </c>
      <c r="E7" s="17" t="s">
        <v>50</v>
      </c>
      <c r="F7" s="17" t="s">
        <v>160</v>
      </c>
      <c r="G7" s="17" t="s">
        <v>134</v>
      </c>
      <c r="H7" s="18" t="s">
        <v>25</v>
      </c>
      <c r="I7" s="19"/>
      <c r="J7" s="20"/>
      <c r="K7" s="21">
        <f>Twirling_Solo_Program289101112131415161718525354555657586061636567686972[[#This Row],[Judge 1
Tamara Beljak]]-J7</f>
        <v>0</v>
      </c>
      <c r="L7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7" s="19"/>
      <c r="N7" s="20"/>
      <c r="O7" s="21">
        <f>Twirling_Solo_Program289101112131415161718525354555657586061636567686972[[#This Row],[Judge 2
Tihomir Bendelja]]-Twirling_Solo_Program289101112131415161718525354555657586061636567686972[[#This Row],[J2 (-)]]</f>
        <v>0</v>
      </c>
      <c r="P7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7" s="19">
        <v>15.8</v>
      </c>
      <c r="R7" s="20">
        <v>2</v>
      </c>
      <c r="S7" s="21">
        <f>Twirling_Solo_Program289101112131415161718525354555657586061636567686972[[#This Row],[Judge 3
Barbara Novina]]-R7</f>
        <v>13.8</v>
      </c>
      <c r="T7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5</v>
      </c>
      <c r="U7" s="19">
        <v>15.6</v>
      </c>
      <c r="V7" s="20">
        <v>2</v>
      </c>
      <c r="W7" s="21">
        <f>Twirling_Solo_Program289101112131415161718525354555657586061636567686972[[#This Row],[Judge 4
Bernard Barač]]-V7</f>
        <v>13.6</v>
      </c>
      <c r="X7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6</v>
      </c>
      <c r="Y7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27.4</v>
      </c>
      <c r="Z7" s="23"/>
      <c r="AA7" s="23"/>
      <c r="AB7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27.4</v>
      </c>
      <c r="AC7" s="23">
        <f t="shared" si="0"/>
        <v>15.7</v>
      </c>
      <c r="AD7" s="24">
        <f>Twirling_Solo_Program289101112131415161718525354555657586061636567686972[[#This Row],[Final Total]]</f>
        <v>27.4</v>
      </c>
      <c r="AE7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6</v>
      </c>
      <c r="AF7" s="16" t="s">
        <v>35</v>
      </c>
    </row>
    <row r="8" spans="1:51" x14ac:dyDescent="0.3">
      <c r="A8" s="16">
        <v>109</v>
      </c>
      <c r="B8" s="17">
        <v>2</v>
      </c>
      <c r="C8" s="17" t="s">
        <v>101</v>
      </c>
      <c r="D8" s="17" t="s">
        <v>29</v>
      </c>
      <c r="E8" s="17" t="s">
        <v>50</v>
      </c>
      <c r="F8" s="17" t="s">
        <v>99</v>
      </c>
      <c r="G8" s="17" t="s">
        <v>79</v>
      </c>
      <c r="H8" s="18" t="s">
        <v>25</v>
      </c>
      <c r="I8" s="19"/>
      <c r="J8" s="20"/>
      <c r="K8" s="21">
        <f>Twirling_Solo_Program289101112131415161718525354555657586061636567686972[[#This Row],[Judge 1
Tamara Beljak]]-J8</f>
        <v>0</v>
      </c>
      <c r="L8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8" s="19"/>
      <c r="N8" s="20"/>
      <c r="O8" s="21">
        <f>Twirling_Solo_Program289101112131415161718525354555657586061636567686972[[#This Row],[Judge 2
Tihomir Bendelja]]-Twirling_Solo_Program289101112131415161718525354555657586061636567686972[[#This Row],[J2 (-)]]</f>
        <v>0</v>
      </c>
      <c r="P8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8" s="19">
        <v>15.2</v>
      </c>
      <c r="R8" s="20">
        <v>2.5</v>
      </c>
      <c r="S8" s="21">
        <f>Twirling_Solo_Program289101112131415161718525354555657586061636567686972[[#This Row],[Judge 3
Barbara Novina]]-R8</f>
        <v>12.7</v>
      </c>
      <c r="T8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7</v>
      </c>
      <c r="U8" s="19">
        <v>15.4</v>
      </c>
      <c r="V8" s="20">
        <v>2.5</v>
      </c>
      <c r="W8" s="21">
        <f>Twirling_Solo_Program289101112131415161718525354555657586061636567686972[[#This Row],[Judge 4
Bernard Barač]]-V8</f>
        <v>12.9</v>
      </c>
      <c r="X8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7</v>
      </c>
      <c r="Y8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25.6</v>
      </c>
      <c r="Z8" s="23"/>
      <c r="AA8" s="23"/>
      <c r="AB8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25.6</v>
      </c>
      <c r="AC8" s="23">
        <f t="shared" si="0"/>
        <v>15.3</v>
      </c>
      <c r="AD8" s="24">
        <f>Twirling_Solo_Program289101112131415161718525354555657586061636567686972[[#This Row],[Final Total]]</f>
        <v>25.6</v>
      </c>
      <c r="AE8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7</v>
      </c>
      <c r="AF8" s="16" t="s">
        <v>35</v>
      </c>
    </row>
    <row r="9" spans="1:51" x14ac:dyDescent="0.3">
      <c r="A9" s="16">
        <v>121</v>
      </c>
      <c r="B9" s="17">
        <v>2</v>
      </c>
      <c r="C9" s="17" t="s">
        <v>101</v>
      </c>
      <c r="D9" s="17" t="s">
        <v>29</v>
      </c>
      <c r="E9" s="17" t="s">
        <v>50</v>
      </c>
      <c r="F9" s="17" t="s">
        <v>162</v>
      </c>
      <c r="G9" s="17" t="s">
        <v>146</v>
      </c>
      <c r="H9" s="18" t="s">
        <v>28</v>
      </c>
      <c r="I9" s="19"/>
      <c r="J9" s="20"/>
      <c r="K9" s="21">
        <f>Twirling_Solo_Program289101112131415161718525354555657586061636567686972[[#This Row],[Judge 1
Tamara Beljak]]-J9</f>
        <v>0</v>
      </c>
      <c r="L9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9" s="19"/>
      <c r="N9" s="20"/>
      <c r="O9" s="21">
        <f>Twirling_Solo_Program289101112131415161718525354555657586061636567686972[[#This Row],[Judge 2
Tihomir Bendelja]]-Twirling_Solo_Program289101112131415161718525354555657586061636567686972[[#This Row],[J2 (-)]]</f>
        <v>0</v>
      </c>
      <c r="P9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9" s="19">
        <v>9.5</v>
      </c>
      <c r="R9" s="20">
        <v>1.5</v>
      </c>
      <c r="S9" s="21">
        <f>Twirling_Solo_Program289101112131415161718525354555657586061636567686972[[#This Row],[Judge 3
Barbara Novina]]-R9</f>
        <v>8</v>
      </c>
      <c r="T9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8</v>
      </c>
      <c r="U9" s="19">
        <v>10.1</v>
      </c>
      <c r="V9" s="20">
        <v>1.5</v>
      </c>
      <c r="W9" s="21">
        <f>Twirling_Solo_Program289101112131415161718525354555657586061636567686972[[#This Row],[Judge 4
Bernard Barač]]-V9</f>
        <v>8.6</v>
      </c>
      <c r="X9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8</v>
      </c>
      <c r="Y9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16.600000000000001</v>
      </c>
      <c r="Z9" s="23"/>
      <c r="AA9" s="23"/>
      <c r="AB9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16.600000000000001</v>
      </c>
      <c r="AC9" s="23">
        <f t="shared" si="0"/>
        <v>9.8000000000000007</v>
      </c>
      <c r="AD9" s="24">
        <f>Twirling_Solo_Program289101112131415161718525354555657586061636567686972[[#This Row],[Final Total]]</f>
        <v>16.600000000000001</v>
      </c>
      <c r="AE9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8</v>
      </c>
      <c r="AF9" s="16" t="s">
        <v>35</v>
      </c>
    </row>
    <row r="10" spans="1:51" x14ac:dyDescent="0.3">
      <c r="A10" s="16">
        <v>111</v>
      </c>
      <c r="B10" s="17">
        <v>2</v>
      </c>
      <c r="C10" s="17" t="s">
        <v>101</v>
      </c>
      <c r="D10" s="17" t="s">
        <v>29</v>
      </c>
      <c r="E10" s="17" t="s">
        <v>50</v>
      </c>
      <c r="F10" s="17" t="s">
        <v>156</v>
      </c>
      <c r="G10" s="17" t="s">
        <v>146</v>
      </c>
      <c r="H10" s="18" t="s">
        <v>28</v>
      </c>
      <c r="I10" s="19"/>
      <c r="J10" s="20"/>
      <c r="K10" s="21">
        <f>Twirling_Solo_Program289101112131415161718525354555657586061636567686972[[#This Row],[Judge 1
Tamara Beljak]]-J10</f>
        <v>0</v>
      </c>
      <c r="L10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Row],[Category]],Twirling_Solo_Program289101112131415161718525354555657586061636567686972[J1 TOTAL],"&gt;"&amp;Twirling_Solo_Program289101112131415161718525354555657586061636567686972[[#This Row],[J1 TOTAL]])+1</f>
        <v>1</v>
      </c>
      <c r="M10" s="19"/>
      <c r="N10" s="20"/>
      <c r="O10" s="21">
        <f>Twirling_Solo_Program289101112131415161718525354555657586061636567686972[[#This Row],[Judge 2
Tihomir Bendelja]]-Twirling_Solo_Program289101112131415161718525354555657586061636567686972[[#This Row],[J2 (-)]]</f>
        <v>0</v>
      </c>
      <c r="P10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Row],[Category]],Twirling_Solo_Program289101112131415161718525354555657586061636567686972[J2 TOTAL],"&gt;"&amp;Twirling_Solo_Program289101112131415161718525354555657586061636567686972[[#This Row],[J2 TOTAL]])+1</f>
        <v>1</v>
      </c>
      <c r="Q10" s="19">
        <v>8.3000000000000007</v>
      </c>
      <c r="R10" s="20">
        <v>0.5</v>
      </c>
      <c r="S10" s="21">
        <f>Twirling_Solo_Program289101112131415161718525354555657586061636567686972[[#This Row],[Judge 3
Barbara Novina]]-R10</f>
        <v>7.8000000000000007</v>
      </c>
      <c r="T10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Row],[Category]],Twirling_Solo_Program289101112131415161718525354555657586061636567686972[J3 TOTAL],"&gt;"&amp;Twirling_Solo_Program289101112131415161718525354555657586061636567686972[[#This Row],[J3 TOTAL]])+1</f>
        <v>9</v>
      </c>
      <c r="U10" s="19">
        <v>9.1</v>
      </c>
      <c r="V10" s="20">
        <v>0.5</v>
      </c>
      <c r="W10" s="21">
        <f>Twirling_Solo_Program289101112131415161718525354555657586061636567686972[[#This Row],[Judge 4
Bernard Barač]]-V10</f>
        <v>8.6</v>
      </c>
      <c r="X10" s="22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Row],[Category]],Twirling_Solo_Program289101112131415161718525354555657586061636567686972[J4 TOTAL],"&gt;"&amp;Twirling_Solo_Program289101112131415161718525354555657586061636567686972[[#This Row],[J4 TOTAL]])+1</f>
        <v>8</v>
      </c>
      <c r="Y10" s="23">
        <f>SUM(Twirling_Solo_Program289101112131415161718525354555657586061636567686972[[#This Row],[J1 TOTAL]]+Twirling_Solo_Program289101112131415161718525354555657586061636567686972[[#This Row],[J2 TOTAL]]+Twirling_Solo_Program289101112131415161718525354555657586061636567686972[[#This Row],[J3 TOTAL]]+Twirling_Solo_Program289101112131415161718525354555657586061636567686972[[#This Row],[J4 TOTAL]])</f>
        <v>16.399999999999999</v>
      </c>
      <c r="Z10" s="23"/>
      <c r="AA10" s="23"/>
      <c r="AB10" s="23">
        <f>SUM(Twirling_Solo_Program289101112131415161718525354555657586061636567686972[[#This Row],[Total]]-Twirling_Solo_Program289101112131415161718525354555657586061636567686972[[#This Row],[Low]]-Twirling_Solo_Program289101112131415161718525354555657586061636567686972[[#This Row],[High]])</f>
        <v>16.399999999999999</v>
      </c>
      <c r="AC10" s="23">
        <f t="shared" si="0"/>
        <v>8.6999999999999993</v>
      </c>
      <c r="AD10" s="24">
        <f>Twirling_Solo_Program289101112131415161718525354555657586061636567686972[[#This Row],[Final Total]]</f>
        <v>16.399999999999999</v>
      </c>
      <c r="AE10" s="25">
        <f>COUNTIFS(Twirling_Solo_Program289101112131415161718525354555657586061636567686972[Age
Division],Twirling_Solo_Program289101112131415161718525354555657586061636567686972[[#This Row],[Age
Division]],Twirling_Solo_Program289101112131415161718525354555657586061636567686972[Category],Twirling_Solo_Program289101112131415161718525354555657586061636567686972[[#This Row],[Category]],Twirling_Solo_Program289101112131415161718525354555657586061636567686972[FINAL SCORE],"&gt;"&amp;Twirling_Solo_Program289101112131415161718525354555657586061636567686972[[#This Row],[FINAL SCORE]])+1</f>
        <v>9</v>
      </c>
      <c r="AF10" s="16" t="s">
        <v>35</v>
      </c>
    </row>
    <row r="11" spans="1:51" x14ac:dyDescent="0.3">
      <c r="E11" s="27"/>
    </row>
  </sheetData>
  <sheetProtection algorithmName="SHA-512" hashValue="kMGAKPTL7Ntn86zc9OZBg1xLEJWefSTbJiNWfZl4S2h3BYjHnPdu5XXe9n9ayhCW3LXM9a5FtpOvXw4/y3N9Pw==" saltValue="3JrFuUPOKZvk5kfDTkyK0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Y5"/>
  <sheetViews>
    <sheetView zoomScale="80" zoomScaleNormal="80" workbookViewId="0">
      <pane ySplit="1" topLeftCell="A2" activePane="bottomLeft" state="frozen"/>
      <selection pane="bottomLeft" sqref="A1:AF5"/>
    </sheetView>
  </sheetViews>
  <sheetFormatPr defaultColWidth="9.140625" defaultRowHeight="16.5" x14ac:dyDescent="0.3"/>
  <cols>
    <col min="1" max="2" width="5.85546875" style="2" customWidth="1"/>
    <col min="3" max="3" width="13.28515625" style="2" customWidth="1"/>
    <col min="4" max="4" width="9.28515625" style="4" customWidth="1"/>
    <col min="5" max="5" width="10.42578125" style="4" customWidth="1"/>
    <col min="6" max="6" width="16.7109375" style="1" customWidth="1"/>
    <col min="7" max="7" width="40" style="1" customWidth="1"/>
    <col min="8" max="8" width="12.42578125" style="1" customWidth="1"/>
    <col min="9" max="12" width="9.140625" style="1" hidden="1" customWidth="1"/>
    <col min="13" max="20" width="9.140625" style="1" customWidth="1"/>
    <col min="21" max="24" width="9.140625" style="1" hidden="1" customWidth="1"/>
    <col min="25" max="25" width="9.140625" customWidth="1"/>
    <col min="26" max="27" width="9.7109375" style="1" hidden="1" customWidth="1"/>
    <col min="28" max="29" width="9.7109375" style="1" customWidth="1"/>
    <col min="30" max="30" width="7.5703125" style="1" customWidth="1"/>
    <col min="31" max="31" width="8.42578125" style="1" customWidth="1"/>
    <col min="32" max="16384" width="9.140625" style="1"/>
  </cols>
  <sheetData>
    <row r="1" spans="1:51" s="3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x14ac:dyDescent="0.3">
      <c r="A2" s="16">
        <v>83</v>
      </c>
      <c r="B2" s="17">
        <v>2</v>
      </c>
      <c r="C2" s="17" t="s">
        <v>101</v>
      </c>
      <c r="D2" s="17" t="s">
        <v>29</v>
      </c>
      <c r="E2" s="17" t="s">
        <v>66</v>
      </c>
      <c r="F2" s="17" t="s">
        <v>153</v>
      </c>
      <c r="G2" s="17" t="s">
        <v>33</v>
      </c>
      <c r="H2" s="18" t="s">
        <v>28</v>
      </c>
      <c r="I2" s="19"/>
      <c r="J2" s="20"/>
      <c r="K2" s="21">
        <f>Twirling_Solo_Program289101112131415161718525354555657586061636567[[#This Row],[Judge 1
Tamara Beljak]]-J2</f>
        <v>0</v>
      </c>
      <c r="L2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Row],[Category]],Twirling_Solo_Program289101112131415161718525354555657586061636567[J1 TOTAL],"&gt;"&amp;Twirling_Solo_Program289101112131415161718525354555657586061636567[[#This Row],[J1 TOTAL]])+1</f>
        <v>1</v>
      </c>
      <c r="M2" s="19">
        <v>22.8</v>
      </c>
      <c r="N2" s="20">
        <v>3</v>
      </c>
      <c r="O2" s="21">
        <f>Twirling_Solo_Program289101112131415161718525354555657586061636567[[#This Row],[Judge 2
Tihomir Bendelja]]-Twirling_Solo_Program289101112131415161718525354555657586061636567[[#This Row],[J2 (-)]]</f>
        <v>19.8</v>
      </c>
      <c r="P2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Row],[Category]],Twirling_Solo_Program289101112131415161718525354555657586061636567[J2 TOTAL],"&gt;"&amp;Twirling_Solo_Program289101112131415161718525354555657586061636567[[#This Row],[J2 TOTAL]])+1</f>
        <v>1</v>
      </c>
      <c r="Q2" s="19">
        <v>20.9</v>
      </c>
      <c r="R2" s="20">
        <v>0</v>
      </c>
      <c r="S2" s="21">
        <f>Twirling_Solo_Program289101112131415161718525354555657586061636567[[#This Row],[Judge 3
Barbara Novina]]-R2</f>
        <v>20.9</v>
      </c>
      <c r="T2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Row],[Category]],Twirling_Solo_Program289101112131415161718525354555657586061636567[J3 TOTAL],"&gt;"&amp;Twirling_Solo_Program289101112131415161718525354555657586061636567[[#This Row],[J3 TOTAL]])+1</f>
        <v>1</v>
      </c>
      <c r="U2" s="19"/>
      <c r="V2" s="20"/>
      <c r="W2" s="21">
        <f>Twirling_Solo_Program289101112131415161718525354555657586061636567[[#This Row],[Judge 4
Bernard Barač]]-V2</f>
        <v>0</v>
      </c>
      <c r="X2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Row],[Category]],Twirling_Solo_Program289101112131415161718525354555657586061636567[J4 TOTAL],"&gt;"&amp;Twirling_Solo_Program289101112131415161718525354555657586061636567[[#This Row],[J4 TOTAL]])+1</f>
        <v>1</v>
      </c>
      <c r="Y2" s="23">
        <f>SUM(Twirling_Solo_Program289101112131415161718525354555657586061636567[[#This Row],[J1 TOTAL]]+Twirling_Solo_Program289101112131415161718525354555657586061636567[[#This Row],[J2 TOTAL]]+Twirling_Solo_Program289101112131415161718525354555657586061636567[[#This Row],[J3 TOTAL]]+Twirling_Solo_Program289101112131415161718525354555657586061636567[[#This Row],[J4 TOTAL]])</f>
        <v>40.700000000000003</v>
      </c>
      <c r="Z2" s="23"/>
      <c r="AA2" s="23"/>
      <c r="AB2" s="23">
        <f>SUM(Twirling_Solo_Program289101112131415161718525354555657586061636567[[#This Row],[Total]]-Twirling_Solo_Program289101112131415161718525354555657586061636567[[#This Row],[Low]]-Twirling_Solo_Program289101112131415161718525354555657586061636567[[#This Row],[High]])</f>
        <v>40.700000000000003</v>
      </c>
      <c r="AC2" s="23">
        <f>AVERAGE(I2,M2,Q2,U2)</f>
        <v>21.85</v>
      </c>
      <c r="AD2" s="24">
        <f>Twirling_Solo_Program289101112131415161718525354555657586061636567[[#This Row],[Final Total]]</f>
        <v>40.700000000000003</v>
      </c>
      <c r="AE2" s="25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Row],[Category]],Twirling_Solo_Program289101112131415161718525354555657586061636567[FINAL SCORE],"&gt;"&amp;Twirling_Solo_Program289101112131415161718525354555657586061636567[[#This Row],[FINAL SCORE]])+1</f>
        <v>1</v>
      </c>
      <c r="AF2" s="16" t="s">
        <v>35</v>
      </c>
    </row>
    <row r="3" spans="1:51" x14ac:dyDescent="0.3">
      <c r="A3" s="16">
        <v>77</v>
      </c>
      <c r="B3" s="17">
        <v>2</v>
      </c>
      <c r="C3" s="17" t="s">
        <v>101</v>
      </c>
      <c r="D3" s="17" t="s">
        <v>29</v>
      </c>
      <c r="E3" s="17" t="s">
        <v>66</v>
      </c>
      <c r="F3" s="17" t="s">
        <v>150</v>
      </c>
      <c r="G3" s="17" t="s">
        <v>134</v>
      </c>
      <c r="H3" s="18" t="s">
        <v>25</v>
      </c>
      <c r="I3" s="19"/>
      <c r="J3" s="20"/>
      <c r="K3" s="21">
        <f>Twirling_Solo_Program289101112131415161718525354555657586061636567[[#This Row],[Judge 1
Tamara Beljak]]-J3</f>
        <v>0</v>
      </c>
      <c r="L3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Row],[Category]],Twirling_Solo_Program289101112131415161718525354555657586061636567[J1 TOTAL],"&gt;"&amp;Twirling_Solo_Program289101112131415161718525354555657586061636567[[#This Row],[J1 TOTAL]])+1</f>
        <v>1</v>
      </c>
      <c r="M3" s="19">
        <v>20.7</v>
      </c>
      <c r="N3" s="20">
        <v>2</v>
      </c>
      <c r="O3" s="21">
        <f>Twirling_Solo_Program289101112131415161718525354555657586061636567[[#This Row],[Judge 2
Tihomir Bendelja]]-Twirling_Solo_Program289101112131415161718525354555657586061636567[[#This Row],[J2 (-)]]</f>
        <v>18.7</v>
      </c>
      <c r="P3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Row],[Category]],Twirling_Solo_Program289101112131415161718525354555657586061636567[J2 TOTAL],"&gt;"&amp;Twirling_Solo_Program289101112131415161718525354555657586061636567[[#This Row],[J2 TOTAL]])+1</f>
        <v>2</v>
      </c>
      <c r="Q3" s="19">
        <v>20.399999999999999</v>
      </c>
      <c r="R3" s="20">
        <v>2</v>
      </c>
      <c r="S3" s="21">
        <f>Twirling_Solo_Program289101112131415161718525354555657586061636567[[#This Row],[Judge 3
Barbara Novina]]-R3</f>
        <v>18.399999999999999</v>
      </c>
      <c r="T3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Row],[Category]],Twirling_Solo_Program289101112131415161718525354555657586061636567[J3 TOTAL],"&gt;"&amp;Twirling_Solo_Program289101112131415161718525354555657586061636567[[#This Row],[J3 TOTAL]])+1</f>
        <v>2</v>
      </c>
      <c r="U3" s="19"/>
      <c r="V3" s="20"/>
      <c r="W3" s="21">
        <f>Twirling_Solo_Program289101112131415161718525354555657586061636567[[#This Row],[Judge 4
Bernard Barač]]-V3</f>
        <v>0</v>
      </c>
      <c r="X3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Row],[Category]],Twirling_Solo_Program289101112131415161718525354555657586061636567[J4 TOTAL],"&gt;"&amp;Twirling_Solo_Program289101112131415161718525354555657586061636567[[#This Row],[J4 TOTAL]])+1</f>
        <v>1</v>
      </c>
      <c r="Y3" s="23">
        <f>SUM(Twirling_Solo_Program289101112131415161718525354555657586061636567[[#This Row],[J1 TOTAL]]+Twirling_Solo_Program289101112131415161718525354555657586061636567[[#This Row],[J2 TOTAL]]+Twirling_Solo_Program289101112131415161718525354555657586061636567[[#This Row],[J3 TOTAL]]+Twirling_Solo_Program289101112131415161718525354555657586061636567[[#This Row],[J4 TOTAL]])</f>
        <v>37.099999999999994</v>
      </c>
      <c r="Z3" s="23"/>
      <c r="AA3" s="23"/>
      <c r="AB3" s="23">
        <f>SUM(Twirling_Solo_Program289101112131415161718525354555657586061636567[[#This Row],[Total]]-Twirling_Solo_Program289101112131415161718525354555657586061636567[[#This Row],[Low]]-Twirling_Solo_Program289101112131415161718525354555657586061636567[[#This Row],[High]])</f>
        <v>37.099999999999994</v>
      </c>
      <c r="AC3" s="23">
        <f>AVERAGE(I3,M3,Q3,U3)</f>
        <v>20.549999999999997</v>
      </c>
      <c r="AD3" s="24">
        <f>Twirling_Solo_Program289101112131415161718525354555657586061636567[[#This Row],[Final Total]]</f>
        <v>37.099999999999994</v>
      </c>
      <c r="AE3" s="25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Row],[Category]],Twirling_Solo_Program289101112131415161718525354555657586061636567[FINAL SCORE],"&gt;"&amp;Twirling_Solo_Program289101112131415161718525354555657586061636567[[#This Row],[FINAL SCORE]])+1</f>
        <v>2</v>
      </c>
      <c r="AF3" s="16" t="s">
        <v>35</v>
      </c>
    </row>
    <row r="4" spans="1:51" x14ac:dyDescent="0.3">
      <c r="A4" s="16">
        <v>79</v>
      </c>
      <c r="B4" s="17">
        <v>2</v>
      </c>
      <c r="C4" s="17" t="s">
        <v>101</v>
      </c>
      <c r="D4" s="17" t="s">
        <v>29</v>
      </c>
      <c r="E4" s="17" t="s">
        <v>66</v>
      </c>
      <c r="F4" s="17" t="s">
        <v>151</v>
      </c>
      <c r="G4" s="17" t="s">
        <v>32</v>
      </c>
      <c r="H4" s="18" t="s">
        <v>25</v>
      </c>
      <c r="I4" s="19"/>
      <c r="J4" s="20"/>
      <c r="K4" s="21">
        <f>Twirling_Solo_Program289101112131415161718525354555657586061636567[[#This Row],[Judge 1
Tamara Beljak]]-J4</f>
        <v>0</v>
      </c>
      <c r="L4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Row],[Category]],Twirling_Solo_Program289101112131415161718525354555657586061636567[J1 TOTAL],"&gt;"&amp;Twirling_Solo_Program289101112131415161718525354555657586061636567[[#This Row],[J1 TOTAL]])+1</f>
        <v>1</v>
      </c>
      <c r="M4" s="19">
        <v>20.3</v>
      </c>
      <c r="N4" s="20">
        <v>2.5</v>
      </c>
      <c r="O4" s="21">
        <f>Twirling_Solo_Program289101112131415161718525354555657586061636567[[#This Row],[Judge 2
Tihomir Bendelja]]-Twirling_Solo_Program289101112131415161718525354555657586061636567[[#This Row],[J2 (-)]]</f>
        <v>17.8</v>
      </c>
      <c r="P4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Row],[Category]],Twirling_Solo_Program289101112131415161718525354555657586061636567[J2 TOTAL],"&gt;"&amp;Twirling_Solo_Program289101112131415161718525354555657586061636567[[#This Row],[J2 TOTAL]])+1</f>
        <v>3</v>
      </c>
      <c r="Q4" s="19">
        <v>20.7</v>
      </c>
      <c r="R4" s="20">
        <v>2.5</v>
      </c>
      <c r="S4" s="21">
        <f>Twirling_Solo_Program289101112131415161718525354555657586061636567[[#This Row],[Judge 3
Barbara Novina]]-R4</f>
        <v>18.2</v>
      </c>
      <c r="T4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Row],[Category]],Twirling_Solo_Program289101112131415161718525354555657586061636567[J3 TOTAL],"&gt;"&amp;Twirling_Solo_Program289101112131415161718525354555657586061636567[[#This Row],[J3 TOTAL]])+1</f>
        <v>3</v>
      </c>
      <c r="U4" s="19"/>
      <c r="V4" s="20"/>
      <c r="W4" s="21">
        <f>Twirling_Solo_Program289101112131415161718525354555657586061636567[[#This Row],[Judge 4
Bernard Barač]]-V4</f>
        <v>0</v>
      </c>
      <c r="X4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Row],[Category]],Twirling_Solo_Program289101112131415161718525354555657586061636567[J4 TOTAL],"&gt;"&amp;Twirling_Solo_Program289101112131415161718525354555657586061636567[[#This Row],[J4 TOTAL]])+1</f>
        <v>1</v>
      </c>
      <c r="Y4" s="23">
        <f>SUM(Twirling_Solo_Program289101112131415161718525354555657586061636567[[#This Row],[J1 TOTAL]]+Twirling_Solo_Program289101112131415161718525354555657586061636567[[#This Row],[J2 TOTAL]]+Twirling_Solo_Program289101112131415161718525354555657586061636567[[#This Row],[J3 TOTAL]]+Twirling_Solo_Program289101112131415161718525354555657586061636567[[#This Row],[J4 TOTAL]])</f>
        <v>36</v>
      </c>
      <c r="Z4" s="23"/>
      <c r="AA4" s="23"/>
      <c r="AB4" s="23">
        <f>SUM(Twirling_Solo_Program289101112131415161718525354555657586061636567[[#This Row],[Total]]-Twirling_Solo_Program289101112131415161718525354555657586061636567[[#This Row],[Low]]-Twirling_Solo_Program289101112131415161718525354555657586061636567[[#This Row],[High]])</f>
        <v>36</v>
      </c>
      <c r="AC4" s="23">
        <f>AVERAGE(I4,M4,Q4,U4)</f>
        <v>20.5</v>
      </c>
      <c r="AD4" s="24">
        <f>Twirling_Solo_Program289101112131415161718525354555657586061636567[[#This Row],[Final Total]]</f>
        <v>36</v>
      </c>
      <c r="AE4" s="25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Row],[Category]],Twirling_Solo_Program289101112131415161718525354555657586061636567[FINAL SCORE],"&gt;"&amp;Twirling_Solo_Program289101112131415161718525354555657586061636567[[#This Row],[FINAL SCORE]])+1</f>
        <v>3</v>
      </c>
      <c r="AF4" s="16" t="s">
        <v>35</v>
      </c>
    </row>
    <row r="5" spans="1:51" x14ac:dyDescent="0.3">
      <c r="A5" s="16">
        <v>81</v>
      </c>
      <c r="B5" s="17">
        <v>2</v>
      </c>
      <c r="C5" s="17" t="s">
        <v>101</v>
      </c>
      <c r="D5" s="17" t="s">
        <v>29</v>
      </c>
      <c r="E5" s="17" t="s">
        <v>66</v>
      </c>
      <c r="F5" s="17" t="s">
        <v>152</v>
      </c>
      <c r="G5" s="17" t="s">
        <v>88</v>
      </c>
      <c r="H5" s="18" t="s">
        <v>28</v>
      </c>
      <c r="I5" s="19"/>
      <c r="J5" s="20"/>
      <c r="K5" s="21">
        <f>Twirling_Solo_Program289101112131415161718525354555657586061636567[[#This Row],[Judge 1
Tamara Beljak]]-J5</f>
        <v>0</v>
      </c>
      <c r="L5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Row],[Category]],Twirling_Solo_Program289101112131415161718525354555657586061636567[J1 TOTAL],"&gt;"&amp;Twirling_Solo_Program289101112131415161718525354555657586061636567[[#This Row],[J1 TOTAL]])+1</f>
        <v>1</v>
      </c>
      <c r="M5" s="19">
        <v>18.8</v>
      </c>
      <c r="N5" s="20">
        <v>3</v>
      </c>
      <c r="O5" s="21">
        <f>Twirling_Solo_Program289101112131415161718525354555657586061636567[[#This Row],[Judge 2
Tihomir Bendelja]]-Twirling_Solo_Program289101112131415161718525354555657586061636567[[#This Row],[J2 (-)]]</f>
        <v>15.8</v>
      </c>
      <c r="P5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Row],[Category]],Twirling_Solo_Program289101112131415161718525354555657586061636567[J2 TOTAL],"&gt;"&amp;Twirling_Solo_Program289101112131415161718525354555657586061636567[[#This Row],[J2 TOTAL]])+1</f>
        <v>4</v>
      </c>
      <c r="Q5" s="19">
        <v>16.899999999999999</v>
      </c>
      <c r="R5" s="20">
        <v>3</v>
      </c>
      <c r="S5" s="21">
        <f>Twirling_Solo_Program289101112131415161718525354555657586061636567[[#This Row],[Judge 3
Barbara Novina]]-R5</f>
        <v>13.899999999999999</v>
      </c>
      <c r="T5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Row],[Category]],Twirling_Solo_Program289101112131415161718525354555657586061636567[J3 TOTAL],"&gt;"&amp;Twirling_Solo_Program289101112131415161718525354555657586061636567[[#This Row],[J3 TOTAL]])+1</f>
        <v>4</v>
      </c>
      <c r="U5" s="19"/>
      <c r="V5" s="20"/>
      <c r="W5" s="21">
        <f>Twirling_Solo_Program289101112131415161718525354555657586061636567[[#This Row],[Judge 4
Bernard Barač]]-V5</f>
        <v>0</v>
      </c>
      <c r="X5" s="22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Row],[Category]],Twirling_Solo_Program289101112131415161718525354555657586061636567[J4 TOTAL],"&gt;"&amp;Twirling_Solo_Program289101112131415161718525354555657586061636567[[#This Row],[J4 TOTAL]])+1</f>
        <v>1</v>
      </c>
      <c r="Y5" s="23">
        <f>SUM(Twirling_Solo_Program289101112131415161718525354555657586061636567[[#This Row],[J1 TOTAL]]+Twirling_Solo_Program289101112131415161718525354555657586061636567[[#This Row],[J2 TOTAL]]+Twirling_Solo_Program289101112131415161718525354555657586061636567[[#This Row],[J3 TOTAL]]+Twirling_Solo_Program289101112131415161718525354555657586061636567[[#This Row],[J4 TOTAL]])</f>
        <v>29.7</v>
      </c>
      <c r="Z5" s="23"/>
      <c r="AA5" s="23"/>
      <c r="AB5" s="23">
        <f>SUM(Twirling_Solo_Program289101112131415161718525354555657586061636567[[#This Row],[Total]]-Twirling_Solo_Program289101112131415161718525354555657586061636567[[#This Row],[Low]]-Twirling_Solo_Program289101112131415161718525354555657586061636567[[#This Row],[High]])</f>
        <v>29.7</v>
      </c>
      <c r="AC5" s="23">
        <f>AVERAGE(I5,M5,Q5,U5)</f>
        <v>17.850000000000001</v>
      </c>
      <c r="AD5" s="24">
        <f>Twirling_Solo_Program289101112131415161718525354555657586061636567[[#This Row],[Final Total]]</f>
        <v>29.7</v>
      </c>
      <c r="AE5" s="25">
        <f>COUNTIFS(Twirling_Solo_Program289101112131415161718525354555657586061636567[Age
Division],Twirling_Solo_Program289101112131415161718525354555657586061636567[[#This Row],[Age
Division]],Twirling_Solo_Program289101112131415161718525354555657586061636567[Category],Twirling_Solo_Program289101112131415161718525354555657586061636567[[#This Row],[Category]],Twirling_Solo_Program289101112131415161718525354555657586061636567[FINAL SCORE],"&gt;"&amp;Twirling_Solo_Program289101112131415161718525354555657586061636567[[#This Row],[FINAL SCORE]])+1</f>
        <v>4</v>
      </c>
      <c r="AF5" s="16" t="s">
        <v>35</v>
      </c>
    </row>
  </sheetData>
  <sheetProtection algorithmName="SHA-512" hashValue="Venwusre+g6jJYuv4mtgugF+oV0JcFvnG2E336Pdbi6VS8defux4Wh0kY3+GkWt5LqLNyCNciKGPJU9XJrT0Xw==" saltValue="eianWllMxYcOqIa9BvzTg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Y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42578125" style="27" customWidth="1"/>
    <col min="2" max="2" width="4.42578125" style="27" customWidth="1"/>
    <col min="3" max="3" width="10.85546875" style="27" customWidth="1"/>
    <col min="4" max="4" width="9.28515625" style="28" customWidth="1"/>
    <col min="5" max="5" width="11.85546875" style="28" customWidth="1"/>
    <col min="6" max="6" width="12" style="18" customWidth="1"/>
    <col min="7" max="7" width="40.85546875" style="18" customWidth="1"/>
    <col min="8" max="8" width="10.28515625" style="18" customWidth="1"/>
    <col min="9" max="12" width="9.140625" style="18" customWidth="1"/>
    <col min="13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6.42578125" style="18" customWidth="1"/>
    <col min="31" max="31" width="6.285156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80</v>
      </c>
      <c r="B2" s="17">
        <v>1</v>
      </c>
      <c r="C2" s="17" t="s">
        <v>101</v>
      </c>
      <c r="D2" s="17" t="s">
        <v>29</v>
      </c>
      <c r="E2" s="17" t="s">
        <v>91</v>
      </c>
      <c r="F2" s="17" t="s">
        <v>98</v>
      </c>
      <c r="G2" s="17" t="s">
        <v>79</v>
      </c>
      <c r="H2" s="18" t="s">
        <v>25</v>
      </c>
      <c r="I2" s="19">
        <v>46.6</v>
      </c>
      <c r="J2" s="20">
        <v>1</v>
      </c>
      <c r="K2" s="21">
        <f>Twirling_Solo_Program28910111213141516171852535455565758606163656768697273[[#This Row],[Judge 1
Tamara Beljak]]-J2</f>
        <v>45.6</v>
      </c>
      <c r="L2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Row],[Category]],Twirling_Solo_Program28910111213141516171852535455565758606163656768697273[J1 TOTAL],"&gt;"&amp;Twirling_Solo_Program28910111213141516171852535455565758606163656768697273[[#This Row],[J1 TOTAL]])+1</f>
        <v>1</v>
      </c>
      <c r="M2" s="19"/>
      <c r="N2" s="20"/>
      <c r="O2" s="21">
        <f>Twirling_Solo_Program28910111213141516171852535455565758606163656768697273[[#This Row],[Judge 2
Tihomir Bendelja]]-Twirling_Solo_Program28910111213141516171852535455565758606163656768697273[[#This Row],[J2 (-)]]</f>
        <v>0</v>
      </c>
      <c r="P2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Row],[Category]],Twirling_Solo_Program28910111213141516171852535455565758606163656768697273[J2 TOTAL],"&gt;"&amp;Twirling_Solo_Program28910111213141516171852535455565758606163656768697273[[#This Row],[J2 TOTAL]])+1</f>
        <v>1</v>
      </c>
      <c r="Q2" s="19"/>
      <c r="R2" s="20"/>
      <c r="S2" s="21">
        <f>Twirling_Solo_Program28910111213141516171852535455565758606163656768697273[[#This Row],[Judge 3
Barbara Novina]]-R2</f>
        <v>0</v>
      </c>
      <c r="T2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Row],[Category]],Twirling_Solo_Program28910111213141516171852535455565758606163656768697273[J3 TOTAL],"&gt;"&amp;Twirling_Solo_Program28910111213141516171852535455565758606163656768697273[[#This Row],[J3 TOTAL]])+1</f>
        <v>1</v>
      </c>
      <c r="U2" s="19">
        <v>46.4</v>
      </c>
      <c r="V2" s="20">
        <v>1</v>
      </c>
      <c r="W2" s="21">
        <f>Twirling_Solo_Program28910111213141516171852535455565758606163656768697273[[#This Row],[Judge 4
Bernard Barač]]-V2</f>
        <v>45.4</v>
      </c>
      <c r="X2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Row],[Category]],Twirling_Solo_Program28910111213141516171852535455565758606163656768697273[J4 TOTAL],"&gt;"&amp;Twirling_Solo_Program28910111213141516171852535455565758606163656768697273[[#This Row],[J4 TOTAL]])+1</f>
        <v>1</v>
      </c>
      <c r="Y2" s="23">
        <f>SUM(Twirling_Solo_Program28910111213141516171852535455565758606163656768697273[[#This Row],[J1 TOTAL]]+Twirling_Solo_Program28910111213141516171852535455565758606163656768697273[[#This Row],[J2 TOTAL]]+Twirling_Solo_Program28910111213141516171852535455565758606163656768697273[[#This Row],[J3 TOTAL]]+Twirling_Solo_Program28910111213141516171852535455565758606163656768697273[[#This Row],[J4 TOTAL]])</f>
        <v>91</v>
      </c>
      <c r="Z2" s="23"/>
      <c r="AA2" s="23"/>
      <c r="AB2" s="23">
        <f>SUM(Twirling_Solo_Program28910111213141516171852535455565758606163656768697273[[#This Row],[Total]]-Twirling_Solo_Program28910111213141516171852535455565758606163656768697273[[#This Row],[Low]]-Twirling_Solo_Program28910111213141516171852535455565758606163656768697273[[#This Row],[High]])</f>
        <v>91</v>
      </c>
      <c r="AC2" s="23">
        <f>AVERAGE(I2,M2,Q2,U2)</f>
        <v>46.5</v>
      </c>
      <c r="AD2" s="24">
        <f>Twirling_Solo_Program28910111213141516171852535455565758606163656768697273[[#This Row],[Final Total]]</f>
        <v>91</v>
      </c>
      <c r="AE2" s="25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Row],[Category]],Twirling_Solo_Program28910111213141516171852535455565758606163656768697273[FINAL SCORE],"&gt;"&amp;Twirling_Solo_Program28910111213141516171852535455565758606163656768697273[[#This Row],[FINAL SCORE]])+1</f>
        <v>1</v>
      </c>
      <c r="AF2" s="16" t="s">
        <v>35</v>
      </c>
    </row>
    <row r="3" spans="1:51" x14ac:dyDescent="0.3">
      <c r="A3" s="16">
        <v>82</v>
      </c>
      <c r="B3" s="17">
        <v>1</v>
      </c>
      <c r="C3" s="17" t="s">
        <v>101</v>
      </c>
      <c r="D3" s="17" t="s">
        <v>29</v>
      </c>
      <c r="E3" s="17" t="s">
        <v>91</v>
      </c>
      <c r="F3" s="17" t="s">
        <v>85</v>
      </c>
      <c r="G3" s="17" t="s">
        <v>79</v>
      </c>
      <c r="H3" s="18" t="s">
        <v>25</v>
      </c>
      <c r="I3" s="19">
        <v>45.1</v>
      </c>
      <c r="J3" s="20">
        <v>0.5</v>
      </c>
      <c r="K3" s="21">
        <f>Twirling_Solo_Program28910111213141516171852535455565758606163656768697273[[#This Row],[Judge 1
Tamara Beljak]]-J3</f>
        <v>44.6</v>
      </c>
      <c r="L3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Row],[Category]],Twirling_Solo_Program28910111213141516171852535455565758606163656768697273[J1 TOTAL],"&gt;"&amp;Twirling_Solo_Program28910111213141516171852535455565758606163656768697273[[#This Row],[J1 TOTAL]])+1</f>
        <v>2</v>
      </c>
      <c r="M3" s="19"/>
      <c r="N3" s="20"/>
      <c r="O3" s="21">
        <f>Twirling_Solo_Program28910111213141516171852535455565758606163656768697273[[#This Row],[Judge 2
Tihomir Bendelja]]-Twirling_Solo_Program28910111213141516171852535455565758606163656768697273[[#This Row],[J2 (-)]]</f>
        <v>0</v>
      </c>
      <c r="P3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Row],[Category]],Twirling_Solo_Program28910111213141516171852535455565758606163656768697273[J2 TOTAL],"&gt;"&amp;Twirling_Solo_Program28910111213141516171852535455565758606163656768697273[[#This Row],[J2 TOTAL]])+1</f>
        <v>1</v>
      </c>
      <c r="Q3" s="19"/>
      <c r="R3" s="20"/>
      <c r="S3" s="21">
        <f>Twirling_Solo_Program28910111213141516171852535455565758606163656768697273[[#This Row],[Judge 3
Barbara Novina]]-R3</f>
        <v>0</v>
      </c>
      <c r="T3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Row],[Category]],Twirling_Solo_Program28910111213141516171852535455565758606163656768697273[J3 TOTAL],"&gt;"&amp;Twirling_Solo_Program28910111213141516171852535455565758606163656768697273[[#This Row],[J3 TOTAL]])+1</f>
        <v>1</v>
      </c>
      <c r="U3" s="19">
        <v>45.1</v>
      </c>
      <c r="V3" s="20">
        <v>0.5</v>
      </c>
      <c r="W3" s="21">
        <f>Twirling_Solo_Program28910111213141516171852535455565758606163656768697273[[#This Row],[Judge 4
Bernard Barač]]-V3</f>
        <v>44.6</v>
      </c>
      <c r="X3" s="22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Row],[Category]],Twirling_Solo_Program28910111213141516171852535455565758606163656768697273[J4 TOTAL],"&gt;"&amp;Twirling_Solo_Program28910111213141516171852535455565758606163656768697273[[#This Row],[J4 TOTAL]])+1</f>
        <v>2</v>
      </c>
      <c r="Y3" s="23">
        <f>SUM(Twirling_Solo_Program28910111213141516171852535455565758606163656768697273[[#This Row],[J1 TOTAL]]+Twirling_Solo_Program28910111213141516171852535455565758606163656768697273[[#This Row],[J2 TOTAL]]+Twirling_Solo_Program28910111213141516171852535455565758606163656768697273[[#This Row],[J3 TOTAL]]+Twirling_Solo_Program28910111213141516171852535455565758606163656768697273[[#This Row],[J4 TOTAL]])</f>
        <v>89.2</v>
      </c>
      <c r="Z3" s="23"/>
      <c r="AA3" s="23"/>
      <c r="AB3" s="23">
        <f>SUM(Twirling_Solo_Program28910111213141516171852535455565758606163656768697273[[#This Row],[Total]]-Twirling_Solo_Program28910111213141516171852535455565758606163656768697273[[#This Row],[Low]]-Twirling_Solo_Program28910111213141516171852535455565758606163656768697273[[#This Row],[High]])</f>
        <v>89.2</v>
      </c>
      <c r="AC3" s="23">
        <f>AVERAGE(I3,M3,Q3,U3)</f>
        <v>45.1</v>
      </c>
      <c r="AD3" s="24">
        <f>Twirling_Solo_Program28910111213141516171852535455565758606163656768697273[[#This Row],[Final Total]]</f>
        <v>89.2</v>
      </c>
      <c r="AE3" s="25">
        <f>COUNTIFS(Twirling_Solo_Program28910111213141516171852535455565758606163656768697273[Age
Division],Twirling_Solo_Program28910111213141516171852535455565758606163656768697273[[#This Row],[Age
Division]],Twirling_Solo_Program28910111213141516171852535455565758606163656768697273[Category],Twirling_Solo_Program28910111213141516171852535455565758606163656768697273[[#This Row],[Category]],Twirling_Solo_Program28910111213141516171852535455565758606163656768697273[FINAL SCORE],"&gt;"&amp;Twirling_Solo_Program28910111213141516171852535455565758606163656768697273[[#This Row],[FINAL SCORE]])+1</f>
        <v>2</v>
      </c>
      <c r="AF3" s="16" t="s">
        <v>35</v>
      </c>
    </row>
  </sheetData>
  <sheetProtection algorithmName="SHA-512" hashValue="OPW9xRl9hty2yKolmzw5YAX/y3eEcE6RYcs9bLjwY6Hwz5ccEIou53PcVPE6P27ejQqrw1MvBfO5q3BukwgZhw==" saltValue="Ealk+orPAOamYPmbNtRlo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0.28515625" style="27" customWidth="1"/>
    <col min="4" max="4" width="10.140625" style="28" customWidth="1"/>
    <col min="5" max="5" width="12" style="28" customWidth="1"/>
    <col min="6" max="6" width="31.140625" style="18" bestFit="1" customWidth="1"/>
    <col min="7" max="7" width="43" style="18" customWidth="1"/>
    <col min="8" max="8" width="14" style="18" customWidth="1"/>
    <col min="9" max="24" width="9.140625" style="18" customWidth="1"/>
    <col min="25" max="25" width="9.140625" style="14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29">
        <v>124</v>
      </c>
      <c r="B2" s="30">
        <v>2</v>
      </c>
      <c r="C2" s="30" t="s">
        <v>163</v>
      </c>
      <c r="D2" s="30" t="s">
        <v>30</v>
      </c>
      <c r="E2" s="30" t="s">
        <v>127</v>
      </c>
      <c r="F2" s="30" t="s">
        <v>173</v>
      </c>
      <c r="G2" s="30" t="s">
        <v>73</v>
      </c>
      <c r="H2" s="31" t="s">
        <v>25</v>
      </c>
      <c r="I2" s="32">
        <v>0</v>
      </c>
      <c r="J2" s="32"/>
      <c r="K2" s="32">
        <f>Twirling_Solo_Program28910111213141516171852535455565758606163656768697273747576[[#This Row],[Judge 1
Tamara Beljak]]-J2</f>
        <v>0</v>
      </c>
      <c r="L2" s="33">
        <f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Row],[Category]],Twirling_Solo_Program28910111213141516171852535455565758606163656768697273747576[J1 TOTAL],"&gt;"&amp;Twirling_Solo_Program28910111213141516171852535455565758606163656768697273747576[[#This Row],[J1 TOTAL]])+1</f>
        <v>1</v>
      </c>
      <c r="M2" s="32">
        <v>0</v>
      </c>
      <c r="N2" s="32"/>
      <c r="O2" s="32">
        <f>Twirling_Solo_Program28910111213141516171852535455565758606163656768697273747576[[#This Row],[Judge 2
Tihomir Bendelja]]-Twirling_Solo_Program28910111213141516171852535455565758606163656768697273747576[[#This Row],[J2 (-)]]</f>
        <v>0</v>
      </c>
      <c r="P2" s="33">
        <f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Row],[Category]],Twirling_Solo_Program28910111213141516171852535455565758606163656768697273747576[J2 TOTAL],"&gt;"&amp;Twirling_Solo_Program28910111213141516171852535455565758606163656768697273747576[[#This Row],[J2 TOTAL]])+1</f>
        <v>1</v>
      </c>
      <c r="Q2" s="32">
        <v>0</v>
      </c>
      <c r="R2" s="32"/>
      <c r="S2" s="32">
        <f>Twirling_Solo_Program28910111213141516171852535455565758606163656768697273747576[[#This Row],[Judge 3
Barbara Novina]]-R2</f>
        <v>0</v>
      </c>
      <c r="T2" s="33">
        <f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Row],[Category]],Twirling_Solo_Program28910111213141516171852535455565758606163656768697273747576[J3 TOTAL],"&gt;"&amp;Twirling_Solo_Program28910111213141516171852535455565758606163656768697273747576[[#This Row],[J3 TOTAL]])+1</f>
        <v>1</v>
      </c>
      <c r="U2" s="32"/>
      <c r="V2" s="32"/>
      <c r="W2" s="32">
        <f>Twirling_Solo_Program28910111213141516171852535455565758606163656768697273747576[[#This Row],[Judge 4
Bernard Barač]]-V2</f>
        <v>0</v>
      </c>
      <c r="X2" s="33">
        <f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Row],[Category]],Twirling_Solo_Program28910111213141516171852535455565758606163656768697273747576[J4 TOTAL],"&gt;"&amp;Twirling_Solo_Program28910111213141516171852535455565758606163656768697273747576[[#This Row],[J4 TOTAL]])+1</f>
        <v>1</v>
      </c>
      <c r="Y2" s="32">
        <f>SUM(Twirling_Solo_Program28910111213141516171852535455565758606163656768697273747576[[#This Row],[J1 TOTAL]]+Twirling_Solo_Program28910111213141516171852535455565758606163656768697273747576[[#This Row],[J2 TOTAL]]+Twirling_Solo_Program28910111213141516171852535455565758606163656768697273747576[[#This Row],[J3 TOTAL]]+Twirling_Solo_Program28910111213141516171852535455565758606163656768697273747576[[#This Row],[J4 TOTAL]])</f>
        <v>0</v>
      </c>
      <c r="Z2" s="32"/>
      <c r="AA2" s="32"/>
      <c r="AB2" s="32">
        <f>SUM(Twirling_Solo_Program28910111213141516171852535455565758606163656768697273747576[[#This Row],[Total]]-Twirling_Solo_Program28910111213141516171852535455565758606163656768697273747576[[#This Row],[Low]]-Twirling_Solo_Program28910111213141516171852535455565758606163656768697273747576[[#This Row],[High]])</f>
        <v>0</v>
      </c>
      <c r="AC2" s="32">
        <f>AVERAGE(I2,M2,Q2,U2)</f>
        <v>0</v>
      </c>
      <c r="AD2" s="34">
        <f>Twirling_Solo_Program28910111213141516171852535455565758606163656768697273747576[[#This Row],[Final Total]]</f>
        <v>0</v>
      </c>
      <c r="AE2" s="35">
        <f>COUNTIFS(Twirling_Solo_Program28910111213141516171852535455565758606163656768697273747576[Age
Division],Twirling_Solo_Program28910111213141516171852535455565758606163656768697273747576[[#This Row],[Age
Division]],Twirling_Solo_Program28910111213141516171852535455565758606163656768697273747576[Category],Twirling_Solo_Program28910111213141516171852535455565758606163656768697273747576[[#This Row],[Category]],Twirling_Solo_Program28910111213141516171852535455565758606163656768697273747576[FINAL SCORE],"&gt;"&amp;Twirling_Solo_Program28910111213141516171852535455565758606163656768697273747576[[#This Row],[FINAL SCORE]])+1</f>
        <v>1</v>
      </c>
      <c r="AF2" s="29" t="s">
        <v>34</v>
      </c>
    </row>
  </sheetData>
  <sheetProtection algorithmName="SHA-512" hashValue="TNKaewtnt/DP27jNJVE6+HfLC7FjUpOO0Lcx2091lXGv6DIAE2AjabIkVD2VgBKh0OfflCGt8gHVvvGjnjV5zw==" saltValue="hUKM8iwHu3v5zcgjK8GrG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Y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1.7109375" style="27" customWidth="1"/>
    <col min="4" max="4" width="8.7109375" style="28" customWidth="1"/>
    <col min="5" max="5" width="11.42578125" style="28" customWidth="1"/>
    <col min="6" max="6" width="31.5703125" style="18" customWidth="1"/>
    <col min="7" max="7" width="46.28515625" style="18" bestFit="1" customWidth="1"/>
    <col min="8" max="8" width="10.140625" style="18" customWidth="1"/>
    <col min="9" max="12" width="9.140625" style="18" customWidth="1"/>
    <col min="13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7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141</v>
      </c>
      <c r="B2" s="17">
        <v>1</v>
      </c>
      <c r="C2" s="17" t="s">
        <v>163</v>
      </c>
      <c r="D2" s="17" t="s">
        <v>23</v>
      </c>
      <c r="E2" s="17" t="s">
        <v>94</v>
      </c>
      <c r="F2" s="17" t="s">
        <v>165</v>
      </c>
      <c r="G2" s="17" t="s">
        <v>58</v>
      </c>
      <c r="H2" s="18" t="s">
        <v>25</v>
      </c>
      <c r="I2" s="19">
        <v>72</v>
      </c>
      <c r="J2" s="20">
        <v>2</v>
      </c>
      <c r="K2" s="21">
        <f>Twirling_Solo_Program2891011121314151617185253545556575860616365676869727374[[#This Row],[Judge 1
Tamara Beljak]]-J2</f>
        <v>70</v>
      </c>
      <c r="L2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Row],[Category]],Twirling_Solo_Program2891011121314151617185253545556575860616365676869727374[J1 TOTAL],"&gt;"&amp;Twirling_Solo_Program2891011121314151617185253545556575860616365676869727374[[#This Row],[J1 TOTAL]])+1</f>
        <v>1</v>
      </c>
      <c r="M2" s="19"/>
      <c r="N2" s="20"/>
      <c r="O2" s="21">
        <f>Twirling_Solo_Program2891011121314151617185253545556575860616365676869727374[[#This Row],[Judge 2
Tihomir Bendelja]]-Twirling_Solo_Program2891011121314151617185253545556575860616365676869727374[[#This Row],[J2 (-)]]</f>
        <v>0</v>
      </c>
      <c r="P2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Row],[Category]],Twirling_Solo_Program2891011121314151617185253545556575860616365676869727374[J2 TOTAL],"&gt;"&amp;Twirling_Solo_Program2891011121314151617185253545556575860616365676869727374[[#This Row],[J2 TOTAL]])+1</f>
        <v>1</v>
      </c>
      <c r="Q2" s="19"/>
      <c r="R2" s="20"/>
      <c r="S2" s="21">
        <f>Twirling_Solo_Program2891011121314151617185253545556575860616365676869727374[[#This Row],[Judge 3
Barbara Novina]]-R2</f>
        <v>0</v>
      </c>
      <c r="T2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Row],[Category]],Twirling_Solo_Program2891011121314151617185253545556575860616365676869727374[J3 TOTAL],"&gt;"&amp;Twirling_Solo_Program2891011121314151617185253545556575860616365676869727374[[#This Row],[J3 TOTAL]])+1</f>
        <v>1</v>
      </c>
      <c r="U2" s="19">
        <v>72.3</v>
      </c>
      <c r="V2" s="20">
        <v>2</v>
      </c>
      <c r="W2" s="21">
        <f>Twirling_Solo_Program2891011121314151617185253545556575860616365676869727374[[#This Row],[Judge 4
Bernard Barač]]-V2</f>
        <v>70.3</v>
      </c>
      <c r="X2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Row],[Category]],Twirling_Solo_Program2891011121314151617185253545556575860616365676869727374[J4 TOTAL],"&gt;"&amp;Twirling_Solo_Program2891011121314151617185253545556575860616365676869727374[[#This Row],[J4 TOTAL]])+1</f>
        <v>1</v>
      </c>
      <c r="Y2" s="23">
        <f>SUM(Twirling_Solo_Program2891011121314151617185253545556575860616365676869727374[[#This Row],[J1 TOTAL]]+Twirling_Solo_Program2891011121314151617185253545556575860616365676869727374[[#This Row],[J2 TOTAL]]+Twirling_Solo_Program2891011121314151617185253545556575860616365676869727374[[#This Row],[J3 TOTAL]]+Twirling_Solo_Program2891011121314151617185253545556575860616365676869727374[[#This Row],[J4 TOTAL]])</f>
        <v>140.30000000000001</v>
      </c>
      <c r="Z2" s="23"/>
      <c r="AA2" s="23"/>
      <c r="AB2" s="23">
        <f>SUM(Twirling_Solo_Program2891011121314151617185253545556575860616365676869727374[[#This Row],[Total]]-Twirling_Solo_Program2891011121314151617185253545556575860616365676869727374[[#This Row],[Low]]-Twirling_Solo_Program2891011121314151617185253545556575860616365676869727374[[#This Row],[High]])</f>
        <v>140.30000000000001</v>
      </c>
      <c r="AC2" s="23">
        <f t="shared" ref="AC2:AC7" si="0">AVERAGE(I2,M2,Q2,U2)</f>
        <v>72.150000000000006</v>
      </c>
      <c r="AD2" s="24">
        <f>Twirling_Solo_Program2891011121314151617185253545556575860616365676869727374[[#This Row],[Final Total]]</f>
        <v>140.30000000000001</v>
      </c>
      <c r="AE2" s="25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Row],[Category]],Twirling_Solo_Program2891011121314151617185253545556575860616365676869727374[FINAL SCORE],"&gt;"&amp;Twirling_Solo_Program2891011121314151617185253545556575860616365676869727374[[#This Row],[FINAL SCORE]])+1</f>
        <v>1</v>
      </c>
      <c r="AF2" s="16" t="s">
        <v>34</v>
      </c>
    </row>
    <row r="3" spans="1:51" x14ac:dyDescent="0.3">
      <c r="A3" s="16">
        <v>149</v>
      </c>
      <c r="B3" s="17">
        <v>1</v>
      </c>
      <c r="C3" s="17" t="s">
        <v>163</v>
      </c>
      <c r="D3" s="17" t="s">
        <v>23</v>
      </c>
      <c r="E3" s="17" t="s">
        <v>94</v>
      </c>
      <c r="F3" s="17" t="s">
        <v>168</v>
      </c>
      <c r="G3" s="17" t="s">
        <v>32</v>
      </c>
      <c r="H3" s="18" t="s">
        <v>25</v>
      </c>
      <c r="I3" s="19">
        <v>69.7</v>
      </c>
      <c r="J3" s="20">
        <v>1</v>
      </c>
      <c r="K3" s="21">
        <f>Twirling_Solo_Program2891011121314151617185253545556575860616365676869727374[[#This Row],[Judge 1
Tamara Beljak]]-J3</f>
        <v>68.7</v>
      </c>
      <c r="L3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Row],[Category]],Twirling_Solo_Program2891011121314151617185253545556575860616365676869727374[J1 TOTAL],"&gt;"&amp;Twirling_Solo_Program2891011121314151617185253545556575860616365676869727374[[#This Row],[J1 TOTAL]])+1</f>
        <v>2</v>
      </c>
      <c r="M3" s="19"/>
      <c r="N3" s="20"/>
      <c r="O3" s="21">
        <f>Twirling_Solo_Program2891011121314151617185253545556575860616365676869727374[[#This Row],[Judge 2
Tihomir Bendelja]]-Twirling_Solo_Program2891011121314151617185253545556575860616365676869727374[[#This Row],[J2 (-)]]</f>
        <v>0</v>
      </c>
      <c r="P3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Row],[Category]],Twirling_Solo_Program2891011121314151617185253545556575860616365676869727374[J2 TOTAL],"&gt;"&amp;Twirling_Solo_Program2891011121314151617185253545556575860616365676869727374[[#This Row],[J2 TOTAL]])+1</f>
        <v>1</v>
      </c>
      <c r="Q3" s="19"/>
      <c r="R3" s="20"/>
      <c r="S3" s="21">
        <f>Twirling_Solo_Program2891011121314151617185253545556575860616365676869727374[[#This Row],[Judge 3
Barbara Novina]]-R3</f>
        <v>0</v>
      </c>
      <c r="T3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Row],[Category]],Twirling_Solo_Program2891011121314151617185253545556575860616365676869727374[J3 TOTAL],"&gt;"&amp;Twirling_Solo_Program2891011121314151617185253545556575860616365676869727374[[#This Row],[J3 TOTAL]])+1</f>
        <v>1</v>
      </c>
      <c r="U3" s="19">
        <v>69.8</v>
      </c>
      <c r="V3" s="20">
        <v>1</v>
      </c>
      <c r="W3" s="21">
        <f>Twirling_Solo_Program2891011121314151617185253545556575860616365676869727374[[#This Row],[Judge 4
Bernard Barač]]-V3</f>
        <v>68.8</v>
      </c>
      <c r="X3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Row],[Category]],Twirling_Solo_Program2891011121314151617185253545556575860616365676869727374[J4 TOTAL],"&gt;"&amp;Twirling_Solo_Program2891011121314151617185253545556575860616365676869727374[[#This Row],[J4 TOTAL]])+1</f>
        <v>2</v>
      </c>
      <c r="Y3" s="23">
        <f>SUM(Twirling_Solo_Program2891011121314151617185253545556575860616365676869727374[[#This Row],[J1 TOTAL]]+Twirling_Solo_Program2891011121314151617185253545556575860616365676869727374[[#This Row],[J2 TOTAL]]+Twirling_Solo_Program2891011121314151617185253545556575860616365676869727374[[#This Row],[J3 TOTAL]]+Twirling_Solo_Program2891011121314151617185253545556575860616365676869727374[[#This Row],[J4 TOTAL]])</f>
        <v>137.5</v>
      </c>
      <c r="Z3" s="23"/>
      <c r="AA3" s="23"/>
      <c r="AB3" s="23">
        <f>SUM(Twirling_Solo_Program2891011121314151617185253545556575860616365676869727374[[#This Row],[Total]]-Twirling_Solo_Program2891011121314151617185253545556575860616365676869727374[[#This Row],[Low]]-Twirling_Solo_Program2891011121314151617185253545556575860616365676869727374[[#This Row],[High]])</f>
        <v>137.5</v>
      </c>
      <c r="AC3" s="23">
        <f t="shared" si="0"/>
        <v>69.75</v>
      </c>
      <c r="AD3" s="24">
        <f>Twirling_Solo_Program2891011121314151617185253545556575860616365676869727374[[#This Row],[Final Total]]</f>
        <v>137.5</v>
      </c>
      <c r="AE3" s="25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Row],[Category]],Twirling_Solo_Program2891011121314151617185253545556575860616365676869727374[FINAL SCORE],"&gt;"&amp;Twirling_Solo_Program2891011121314151617185253545556575860616365676869727374[[#This Row],[FINAL SCORE]])+1</f>
        <v>2</v>
      </c>
      <c r="AF3" s="16" t="s">
        <v>34</v>
      </c>
    </row>
    <row r="4" spans="1:51" x14ac:dyDescent="0.3">
      <c r="A4" s="16">
        <v>143</v>
      </c>
      <c r="B4" s="17">
        <v>1</v>
      </c>
      <c r="C4" s="17" t="s">
        <v>163</v>
      </c>
      <c r="D4" s="17" t="s">
        <v>23</v>
      </c>
      <c r="E4" s="17" t="s">
        <v>94</v>
      </c>
      <c r="F4" s="17" t="s">
        <v>166</v>
      </c>
      <c r="G4" s="17" t="s">
        <v>32</v>
      </c>
      <c r="H4" s="18" t="s">
        <v>25</v>
      </c>
      <c r="I4" s="19">
        <v>70.2</v>
      </c>
      <c r="J4" s="20">
        <v>1.5</v>
      </c>
      <c r="K4" s="21">
        <f>Twirling_Solo_Program2891011121314151617185253545556575860616365676869727374[[#This Row],[Judge 1
Tamara Beljak]]-J4</f>
        <v>68.7</v>
      </c>
      <c r="L4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Row],[Category]],Twirling_Solo_Program2891011121314151617185253545556575860616365676869727374[J1 TOTAL],"&gt;"&amp;Twirling_Solo_Program2891011121314151617185253545556575860616365676869727374[[#This Row],[J1 TOTAL]])+1</f>
        <v>2</v>
      </c>
      <c r="M4" s="19"/>
      <c r="N4" s="20"/>
      <c r="O4" s="21">
        <f>Twirling_Solo_Program2891011121314151617185253545556575860616365676869727374[[#This Row],[Judge 2
Tihomir Bendelja]]-Twirling_Solo_Program2891011121314151617185253545556575860616365676869727374[[#This Row],[J2 (-)]]</f>
        <v>0</v>
      </c>
      <c r="P4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Row],[Category]],Twirling_Solo_Program2891011121314151617185253545556575860616365676869727374[J2 TOTAL],"&gt;"&amp;Twirling_Solo_Program2891011121314151617185253545556575860616365676869727374[[#This Row],[J2 TOTAL]])+1</f>
        <v>1</v>
      </c>
      <c r="Q4" s="19"/>
      <c r="R4" s="20"/>
      <c r="S4" s="21">
        <f>Twirling_Solo_Program2891011121314151617185253545556575860616365676869727374[[#This Row],[Judge 3
Barbara Novina]]-R4</f>
        <v>0</v>
      </c>
      <c r="T4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Row],[Category]],Twirling_Solo_Program2891011121314151617185253545556575860616365676869727374[J3 TOTAL],"&gt;"&amp;Twirling_Solo_Program2891011121314151617185253545556575860616365676869727374[[#This Row],[J3 TOTAL]])+1</f>
        <v>1</v>
      </c>
      <c r="U4" s="19">
        <v>69.7</v>
      </c>
      <c r="V4" s="20">
        <v>1.5</v>
      </c>
      <c r="W4" s="21">
        <f>Twirling_Solo_Program2891011121314151617185253545556575860616365676869727374[[#This Row],[Judge 4
Bernard Barač]]-V4</f>
        <v>68.2</v>
      </c>
      <c r="X4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Row],[Category]],Twirling_Solo_Program2891011121314151617185253545556575860616365676869727374[J4 TOTAL],"&gt;"&amp;Twirling_Solo_Program2891011121314151617185253545556575860616365676869727374[[#This Row],[J4 TOTAL]])+1</f>
        <v>3</v>
      </c>
      <c r="Y4" s="23">
        <f>SUM(Twirling_Solo_Program2891011121314151617185253545556575860616365676869727374[[#This Row],[J1 TOTAL]]+Twirling_Solo_Program2891011121314151617185253545556575860616365676869727374[[#This Row],[J2 TOTAL]]+Twirling_Solo_Program2891011121314151617185253545556575860616365676869727374[[#This Row],[J3 TOTAL]]+Twirling_Solo_Program2891011121314151617185253545556575860616365676869727374[[#This Row],[J4 TOTAL]])</f>
        <v>136.9</v>
      </c>
      <c r="Z4" s="23"/>
      <c r="AA4" s="23"/>
      <c r="AB4" s="23">
        <f>SUM(Twirling_Solo_Program2891011121314151617185253545556575860616365676869727374[[#This Row],[Total]]-Twirling_Solo_Program2891011121314151617185253545556575860616365676869727374[[#This Row],[Low]]-Twirling_Solo_Program2891011121314151617185253545556575860616365676869727374[[#This Row],[High]])</f>
        <v>136.9</v>
      </c>
      <c r="AC4" s="23">
        <f t="shared" si="0"/>
        <v>69.95</v>
      </c>
      <c r="AD4" s="24">
        <f>Twirling_Solo_Program2891011121314151617185253545556575860616365676869727374[[#This Row],[Final Total]]</f>
        <v>136.9</v>
      </c>
      <c r="AE4" s="25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Row],[Category]],Twirling_Solo_Program2891011121314151617185253545556575860616365676869727374[FINAL SCORE],"&gt;"&amp;Twirling_Solo_Program2891011121314151617185253545556575860616365676869727374[[#This Row],[FINAL SCORE]])+1</f>
        <v>3</v>
      </c>
      <c r="AF4" s="16" t="s">
        <v>34</v>
      </c>
    </row>
    <row r="5" spans="1:51" x14ac:dyDescent="0.3">
      <c r="A5" s="16">
        <v>145</v>
      </c>
      <c r="B5" s="17">
        <v>1</v>
      </c>
      <c r="C5" s="17" t="s">
        <v>163</v>
      </c>
      <c r="D5" s="17" t="s">
        <v>23</v>
      </c>
      <c r="E5" s="17" t="s">
        <v>94</v>
      </c>
      <c r="F5" s="17" t="s">
        <v>40</v>
      </c>
      <c r="G5" s="17" t="s">
        <v>24</v>
      </c>
      <c r="H5" s="18" t="s">
        <v>25</v>
      </c>
      <c r="I5" s="19">
        <v>66.099999999999994</v>
      </c>
      <c r="J5" s="20">
        <v>2.5</v>
      </c>
      <c r="K5" s="21">
        <f>Twirling_Solo_Program2891011121314151617185253545556575860616365676869727374[[#This Row],[Judge 1
Tamara Beljak]]-J5</f>
        <v>63.599999999999994</v>
      </c>
      <c r="L5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Row],[Category]],Twirling_Solo_Program2891011121314151617185253545556575860616365676869727374[J1 TOTAL],"&gt;"&amp;Twirling_Solo_Program2891011121314151617185253545556575860616365676869727374[[#This Row],[J1 TOTAL]])+1</f>
        <v>4</v>
      </c>
      <c r="M5" s="19"/>
      <c r="N5" s="20"/>
      <c r="O5" s="21">
        <f>Twirling_Solo_Program2891011121314151617185253545556575860616365676869727374[[#This Row],[Judge 2
Tihomir Bendelja]]-Twirling_Solo_Program2891011121314151617185253545556575860616365676869727374[[#This Row],[J2 (-)]]</f>
        <v>0</v>
      </c>
      <c r="P5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Row],[Category]],Twirling_Solo_Program2891011121314151617185253545556575860616365676869727374[J2 TOTAL],"&gt;"&amp;Twirling_Solo_Program2891011121314151617185253545556575860616365676869727374[[#This Row],[J2 TOTAL]])+1</f>
        <v>1</v>
      </c>
      <c r="Q5" s="19"/>
      <c r="R5" s="20"/>
      <c r="S5" s="21">
        <f>Twirling_Solo_Program2891011121314151617185253545556575860616365676869727374[[#This Row],[Judge 3
Barbara Novina]]-R5</f>
        <v>0</v>
      </c>
      <c r="T5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Row],[Category]],Twirling_Solo_Program2891011121314151617185253545556575860616365676869727374[J3 TOTAL],"&gt;"&amp;Twirling_Solo_Program2891011121314151617185253545556575860616365676869727374[[#This Row],[J3 TOTAL]])+1</f>
        <v>1</v>
      </c>
      <c r="U5" s="19">
        <v>69.7</v>
      </c>
      <c r="V5" s="20">
        <v>2.5</v>
      </c>
      <c r="W5" s="21">
        <f>Twirling_Solo_Program2891011121314151617185253545556575860616365676869727374[[#This Row],[Judge 4
Bernard Barač]]-V5</f>
        <v>67.2</v>
      </c>
      <c r="X5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Row],[Category]],Twirling_Solo_Program2891011121314151617185253545556575860616365676869727374[J4 TOTAL],"&gt;"&amp;Twirling_Solo_Program2891011121314151617185253545556575860616365676869727374[[#This Row],[J4 TOTAL]])+1</f>
        <v>4</v>
      </c>
      <c r="Y5" s="23">
        <f>SUM(Twirling_Solo_Program2891011121314151617185253545556575860616365676869727374[[#This Row],[J1 TOTAL]]+Twirling_Solo_Program2891011121314151617185253545556575860616365676869727374[[#This Row],[J2 TOTAL]]+Twirling_Solo_Program2891011121314151617185253545556575860616365676869727374[[#This Row],[J3 TOTAL]]+Twirling_Solo_Program2891011121314151617185253545556575860616365676869727374[[#This Row],[J4 TOTAL]])</f>
        <v>130.80000000000001</v>
      </c>
      <c r="Z5" s="23"/>
      <c r="AA5" s="23"/>
      <c r="AB5" s="23">
        <f>SUM(Twirling_Solo_Program2891011121314151617185253545556575860616365676869727374[[#This Row],[Total]]-Twirling_Solo_Program2891011121314151617185253545556575860616365676869727374[[#This Row],[Low]]-Twirling_Solo_Program2891011121314151617185253545556575860616365676869727374[[#This Row],[High]])</f>
        <v>130.80000000000001</v>
      </c>
      <c r="AC5" s="23">
        <f t="shared" si="0"/>
        <v>67.900000000000006</v>
      </c>
      <c r="AD5" s="24">
        <f>Twirling_Solo_Program2891011121314151617185253545556575860616365676869727374[[#This Row],[Final Total]]</f>
        <v>130.80000000000001</v>
      </c>
      <c r="AE5" s="25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Row],[Category]],Twirling_Solo_Program2891011121314151617185253545556575860616365676869727374[FINAL SCORE],"&gt;"&amp;Twirling_Solo_Program2891011121314151617185253545556575860616365676869727374[[#This Row],[FINAL SCORE]])+1</f>
        <v>4</v>
      </c>
      <c r="AF5" s="16" t="s">
        <v>34</v>
      </c>
    </row>
    <row r="6" spans="1:51" x14ac:dyDescent="0.3">
      <c r="A6" s="16">
        <v>147</v>
      </c>
      <c r="B6" s="17">
        <v>1</v>
      </c>
      <c r="C6" s="17" t="s">
        <v>163</v>
      </c>
      <c r="D6" s="17" t="s">
        <v>23</v>
      </c>
      <c r="E6" s="17" t="s">
        <v>94</v>
      </c>
      <c r="F6" s="17" t="s">
        <v>167</v>
      </c>
      <c r="G6" s="17" t="s">
        <v>73</v>
      </c>
      <c r="H6" s="18" t="s">
        <v>25</v>
      </c>
      <c r="I6" s="19">
        <v>61.3</v>
      </c>
      <c r="J6" s="20">
        <v>1</v>
      </c>
      <c r="K6" s="21">
        <f>Twirling_Solo_Program2891011121314151617185253545556575860616365676869727374[[#This Row],[Judge 1
Tamara Beljak]]-J6</f>
        <v>60.3</v>
      </c>
      <c r="L6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Row],[Category]],Twirling_Solo_Program2891011121314151617185253545556575860616365676869727374[J1 TOTAL],"&gt;"&amp;Twirling_Solo_Program2891011121314151617185253545556575860616365676869727374[[#This Row],[J1 TOTAL]])+1</f>
        <v>5</v>
      </c>
      <c r="M6" s="19"/>
      <c r="N6" s="20"/>
      <c r="O6" s="21">
        <f>Twirling_Solo_Program2891011121314151617185253545556575860616365676869727374[[#This Row],[Judge 2
Tihomir Bendelja]]-Twirling_Solo_Program2891011121314151617185253545556575860616365676869727374[[#This Row],[J2 (-)]]</f>
        <v>0</v>
      </c>
      <c r="P6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Row],[Category]],Twirling_Solo_Program2891011121314151617185253545556575860616365676869727374[J2 TOTAL],"&gt;"&amp;Twirling_Solo_Program2891011121314151617185253545556575860616365676869727374[[#This Row],[J2 TOTAL]])+1</f>
        <v>1</v>
      </c>
      <c r="Q6" s="19"/>
      <c r="R6" s="20"/>
      <c r="S6" s="21">
        <f>Twirling_Solo_Program2891011121314151617185253545556575860616365676869727374[[#This Row],[Judge 3
Barbara Novina]]-R6</f>
        <v>0</v>
      </c>
      <c r="T6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Row],[Category]],Twirling_Solo_Program2891011121314151617185253545556575860616365676869727374[J3 TOTAL],"&gt;"&amp;Twirling_Solo_Program2891011121314151617185253545556575860616365676869727374[[#This Row],[J3 TOTAL]])+1</f>
        <v>1</v>
      </c>
      <c r="U6" s="19">
        <v>61.5</v>
      </c>
      <c r="V6" s="20">
        <v>1</v>
      </c>
      <c r="W6" s="21">
        <f>Twirling_Solo_Program2891011121314151617185253545556575860616365676869727374[[#This Row],[Judge 4
Bernard Barač]]-V6</f>
        <v>60.5</v>
      </c>
      <c r="X6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Row],[Category]],Twirling_Solo_Program2891011121314151617185253545556575860616365676869727374[J4 TOTAL],"&gt;"&amp;Twirling_Solo_Program2891011121314151617185253545556575860616365676869727374[[#This Row],[J4 TOTAL]])+1</f>
        <v>5</v>
      </c>
      <c r="Y6" s="23">
        <f>SUM(Twirling_Solo_Program2891011121314151617185253545556575860616365676869727374[[#This Row],[J1 TOTAL]]+Twirling_Solo_Program2891011121314151617185253545556575860616365676869727374[[#This Row],[J2 TOTAL]]+Twirling_Solo_Program2891011121314151617185253545556575860616365676869727374[[#This Row],[J3 TOTAL]]+Twirling_Solo_Program2891011121314151617185253545556575860616365676869727374[[#This Row],[J4 TOTAL]])</f>
        <v>120.8</v>
      </c>
      <c r="Z6" s="23"/>
      <c r="AA6" s="23"/>
      <c r="AB6" s="23">
        <f>SUM(Twirling_Solo_Program2891011121314151617185253545556575860616365676869727374[[#This Row],[Total]]-Twirling_Solo_Program2891011121314151617185253545556575860616365676869727374[[#This Row],[Low]]-Twirling_Solo_Program2891011121314151617185253545556575860616365676869727374[[#This Row],[High]])</f>
        <v>120.8</v>
      </c>
      <c r="AC6" s="23">
        <f t="shared" si="0"/>
        <v>61.4</v>
      </c>
      <c r="AD6" s="24">
        <f>Twirling_Solo_Program2891011121314151617185253545556575860616365676869727374[[#This Row],[Final Total]]</f>
        <v>120.8</v>
      </c>
      <c r="AE6" s="25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Row],[Category]],Twirling_Solo_Program2891011121314151617185253545556575860616365676869727374[FINAL SCORE],"&gt;"&amp;Twirling_Solo_Program2891011121314151617185253545556575860616365676869727374[[#This Row],[FINAL SCORE]])+1</f>
        <v>5</v>
      </c>
      <c r="AF6" s="16" t="s">
        <v>34</v>
      </c>
    </row>
    <row r="7" spans="1:51" x14ac:dyDescent="0.3">
      <c r="A7" s="16">
        <v>139</v>
      </c>
      <c r="B7" s="17">
        <v>1</v>
      </c>
      <c r="C7" s="17" t="s">
        <v>163</v>
      </c>
      <c r="D7" s="17" t="s">
        <v>23</v>
      </c>
      <c r="E7" s="17" t="s">
        <v>94</v>
      </c>
      <c r="F7" s="17" t="s">
        <v>164</v>
      </c>
      <c r="G7" s="17" t="s">
        <v>52</v>
      </c>
      <c r="H7" s="18" t="s">
        <v>25</v>
      </c>
      <c r="I7" s="19">
        <v>61</v>
      </c>
      <c r="J7" s="20">
        <v>1.5</v>
      </c>
      <c r="K7" s="21">
        <f>Twirling_Solo_Program2891011121314151617185253545556575860616365676869727374[[#This Row],[Judge 1
Tamara Beljak]]-J7</f>
        <v>59.5</v>
      </c>
      <c r="L7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Row],[Category]],Twirling_Solo_Program2891011121314151617185253545556575860616365676869727374[J1 TOTAL],"&gt;"&amp;Twirling_Solo_Program2891011121314151617185253545556575860616365676869727374[[#This Row],[J1 TOTAL]])+1</f>
        <v>6</v>
      </c>
      <c r="M7" s="19"/>
      <c r="N7" s="20"/>
      <c r="O7" s="21">
        <f>Twirling_Solo_Program2891011121314151617185253545556575860616365676869727374[[#This Row],[Judge 2
Tihomir Bendelja]]-Twirling_Solo_Program2891011121314151617185253545556575860616365676869727374[[#This Row],[J2 (-)]]</f>
        <v>0</v>
      </c>
      <c r="P7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Row],[Category]],Twirling_Solo_Program2891011121314151617185253545556575860616365676869727374[J2 TOTAL],"&gt;"&amp;Twirling_Solo_Program2891011121314151617185253545556575860616365676869727374[[#This Row],[J2 TOTAL]])+1</f>
        <v>1</v>
      </c>
      <c r="Q7" s="19"/>
      <c r="R7" s="20"/>
      <c r="S7" s="21">
        <f>Twirling_Solo_Program2891011121314151617185253545556575860616365676869727374[[#This Row],[Judge 3
Barbara Novina]]-R7</f>
        <v>0</v>
      </c>
      <c r="T7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Row],[Category]],Twirling_Solo_Program2891011121314151617185253545556575860616365676869727374[J3 TOTAL],"&gt;"&amp;Twirling_Solo_Program2891011121314151617185253545556575860616365676869727374[[#This Row],[J3 TOTAL]])+1</f>
        <v>1</v>
      </c>
      <c r="U7" s="19">
        <v>61</v>
      </c>
      <c r="V7" s="20">
        <v>1.5</v>
      </c>
      <c r="W7" s="21">
        <f>Twirling_Solo_Program2891011121314151617185253545556575860616365676869727374[[#This Row],[Judge 4
Bernard Barač]]-V7</f>
        <v>59.5</v>
      </c>
      <c r="X7" s="22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Row],[Category]],Twirling_Solo_Program2891011121314151617185253545556575860616365676869727374[J4 TOTAL],"&gt;"&amp;Twirling_Solo_Program2891011121314151617185253545556575860616365676869727374[[#This Row],[J4 TOTAL]])+1</f>
        <v>6</v>
      </c>
      <c r="Y7" s="23">
        <f>SUM(Twirling_Solo_Program2891011121314151617185253545556575860616365676869727374[[#This Row],[J1 TOTAL]]+Twirling_Solo_Program2891011121314151617185253545556575860616365676869727374[[#This Row],[J2 TOTAL]]+Twirling_Solo_Program2891011121314151617185253545556575860616365676869727374[[#This Row],[J3 TOTAL]]+Twirling_Solo_Program2891011121314151617185253545556575860616365676869727374[[#This Row],[J4 TOTAL]])</f>
        <v>119</v>
      </c>
      <c r="Z7" s="23"/>
      <c r="AA7" s="23"/>
      <c r="AB7" s="23">
        <f>SUM(Twirling_Solo_Program2891011121314151617185253545556575860616365676869727374[[#This Row],[Total]]-Twirling_Solo_Program2891011121314151617185253545556575860616365676869727374[[#This Row],[Low]]-Twirling_Solo_Program2891011121314151617185253545556575860616365676869727374[[#This Row],[High]])</f>
        <v>119</v>
      </c>
      <c r="AC7" s="23">
        <f t="shared" si="0"/>
        <v>61</v>
      </c>
      <c r="AD7" s="24">
        <f>Twirling_Solo_Program2891011121314151617185253545556575860616365676869727374[[#This Row],[Final Total]]</f>
        <v>119</v>
      </c>
      <c r="AE7" s="25">
        <f>COUNTIFS(Twirling_Solo_Program2891011121314151617185253545556575860616365676869727374[Age
Division],Twirling_Solo_Program2891011121314151617185253545556575860616365676869727374[[#This Row],[Age
Division]],Twirling_Solo_Program2891011121314151617185253545556575860616365676869727374[Category],Twirling_Solo_Program2891011121314151617185253545556575860616365676869727374[[#This Row],[Category]],Twirling_Solo_Program2891011121314151617185253545556575860616365676869727374[FINAL SCORE],"&gt;"&amp;Twirling_Solo_Program2891011121314151617185253545556575860616365676869727374[[#This Row],[FINAL SCORE]])+1</f>
        <v>6</v>
      </c>
      <c r="AF7" s="16" t="s">
        <v>34</v>
      </c>
    </row>
  </sheetData>
  <sheetProtection algorithmName="SHA-512" hashValue="F2JcxFvpLM2t6pSV6PpMB4yErEgmkNs/gC9H3QstcaxsfxwJRdOfTud9Tq5Pc1mowSE8P0SRZF0NrBmRjrGptw==" saltValue="ofdDGSNllVI2YSg03kPJEQ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Y5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42578125" style="27" customWidth="1"/>
    <col min="4" max="4" width="8.7109375" style="28" customWidth="1"/>
    <col min="5" max="5" width="11.85546875" style="28" customWidth="1"/>
    <col min="6" max="6" width="26.7109375" style="18" customWidth="1"/>
    <col min="7" max="7" width="38.7109375" style="18" customWidth="1"/>
    <col min="8" max="8" width="9.7109375" style="18" customWidth="1"/>
    <col min="9" max="12" width="9.140625" style="18" customWidth="1"/>
    <col min="13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137</v>
      </c>
      <c r="B2" s="17">
        <v>1</v>
      </c>
      <c r="C2" s="17" t="s">
        <v>163</v>
      </c>
      <c r="D2" s="17" t="s">
        <v>23</v>
      </c>
      <c r="E2" s="17" t="s">
        <v>95</v>
      </c>
      <c r="F2" s="17" t="s">
        <v>172</v>
      </c>
      <c r="G2" s="17" t="s">
        <v>37</v>
      </c>
      <c r="H2" s="18" t="s">
        <v>25</v>
      </c>
      <c r="I2" s="19">
        <v>77</v>
      </c>
      <c r="J2" s="20">
        <v>1</v>
      </c>
      <c r="K2" s="21">
        <f>Twirling_Solo_Program289101112131415161718525354555657586061636567686972737475[[#This Row],[Judge 1
Tamara Beljak]]-J2</f>
        <v>76</v>
      </c>
      <c r="L2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Row],[Category]],Twirling_Solo_Program289101112131415161718525354555657586061636567686972737475[J1 TOTAL],"&gt;"&amp;Twirling_Solo_Program289101112131415161718525354555657586061636567686972737475[[#This Row],[J1 TOTAL]])+1</f>
        <v>1</v>
      </c>
      <c r="M2" s="19"/>
      <c r="N2" s="20"/>
      <c r="O2" s="21">
        <f>Twirling_Solo_Program289101112131415161718525354555657586061636567686972737475[[#This Row],[Judge 2
Tihomir Bendelja]]-Twirling_Solo_Program289101112131415161718525354555657586061636567686972737475[[#This Row],[J2 (-)]]</f>
        <v>0</v>
      </c>
      <c r="P2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Row],[Category]],Twirling_Solo_Program289101112131415161718525354555657586061636567686972737475[J2 TOTAL],"&gt;"&amp;Twirling_Solo_Program289101112131415161718525354555657586061636567686972737475[[#This Row],[J2 TOTAL]])+1</f>
        <v>1</v>
      </c>
      <c r="Q2" s="19"/>
      <c r="R2" s="20"/>
      <c r="S2" s="21">
        <f>Twirling_Solo_Program289101112131415161718525354555657586061636567686972737475[[#This Row],[Judge 3
Barbara Novina]]-R2</f>
        <v>0</v>
      </c>
      <c r="T2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Row],[Category]],Twirling_Solo_Program289101112131415161718525354555657586061636567686972737475[J3 TOTAL],"&gt;"&amp;Twirling_Solo_Program289101112131415161718525354555657586061636567686972737475[[#This Row],[J3 TOTAL]])+1</f>
        <v>1</v>
      </c>
      <c r="U2" s="19">
        <v>74.400000000000006</v>
      </c>
      <c r="V2" s="20">
        <v>1</v>
      </c>
      <c r="W2" s="21">
        <f>Twirling_Solo_Program289101112131415161718525354555657586061636567686972737475[[#This Row],[Judge 4
Bernard Barač]]-V2</f>
        <v>73.400000000000006</v>
      </c>
      <c r="X2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Row],[Category]],Twirling_Solo_Program289101112131415161718525354555657586061636567686972737475[J4 TOTAL],"&gt;"&amp;Twirling_Solo_Program289101112131415161718525354555657586061636567686972737475[[#This Row],[J4 TOTAL]])+1</f>
        <v>2</v>
      </c>
      <c r="Y2" s="23">
        <f>SUM(Twirling_Solo_Program289101112131415161718525354555657586061636567686972737475[[#This Row],[J1 TOTAL]]+Twirling_Solo_Program289101112131415161718525354555657586061636567686972737475[[#This Row],[J2 TOTAL]]+Twirling_Solo_Program289101112131415161718525354555657586061636567686972737475[[#This Row],[J3 TOTAL]]+Twirling_Solo_Program289101112131415161718525354555657586061636567686972737475[[#This Row],[J4 TOTAL]])</f>
        <v>149.4</v>
      </c>
      <c r="Z2" s="23"/>
      <c r="AA2" s="23"/>
      <c r="AB2" s="23">
        <f>SUM(Twirling_Solo_Program289101112131415161718525354555657586061636567686972737475[[#This Row],[Total]]-Twirling_Solo_Program289101112131415161718525354555657586061636567686972737475[[#This Row],[Low]]-Twirling_Solo_Program289101112131415161718525354555657586061636567686972737475[[#This Row],[High]])</f>
        <v>149.4</v>
      </c>
      <c r="AC2" s="23">
        <f>AVERAGE(I2,M2,Q2,U2)</f>
        <v>75.7</v>
      </c>
      <c r="AD2" s="24">
        <f>Twirling_Solo_Program289101112131415161718525354555657586061636567686972737475[[#This Row],[Final Total]]</f>
        <v>149.4</v>
      </c>
      <c r="AE2" s="25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Row],[Category]],Twirling_Solo_Program289101112131415161718525354555657586061636567686972737475[FINAL SCORE],"&gt;"&amp;Twirling_Solo_Program289101112131415161718525354555657586061636567686972737475[[#This Row],[FINAL SCORE]])+1</f>
        <v>1</v>
      </c>
      <c r="AF2" s="16" t="s">
        <v>34</v>
      </c>
    </row>
    <row r="3" spans="1:51" x14ac:dyDescent="0.3">
      <c r="A3" s="16">
        <v>133</v>
      </c>
      <c r="B3" s="17">
        <v>1</v>
      </c>
      <c r="C3" s="17" t="s">
        <v>163</v>
      </c>
      <c r="D3" s="17" t="s">
        <v>23</v>
      </c>
      <c r="E3" s="17" t="s">
        <v>95</v>
      </c>
      <c r="F3" s="17" t="s">
        <v>170</v>
      </c>
      <c r="G3" s="17" t="s">
        <v>159</v>
      </c>
      <c r="H3" s="18" t="s">
        <v>28</v>
      </c>
      <c r="I3" s="19">
        <v>70.900000000000006</v>
      </c>
      <c r="J3" s="20">
        <v>0</v>
      </c>
      <c r="K3" s="21">
        <f>Twirling_Solo_Program289101112131415161718525354555657586061636567686972737475[[#This Row],[Judge 1
Tamara Beljak]]-J3</f>
        <v>70.900000000000006</v>
      </c>
      <c r="L3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Row],[Category]],Twirling_Solo_Program289101112131415161718525354555657586061636567686972737475[J1 TOTAL],"&gt;"&amp;Twirling_Solo_Program289101112131415161718525354555657586061636567686972737475[[#This Row],[J1 TOTAL]])+1</f>
        <v>2</v>
      </c>
      <c r="M3" s="19"/>
      <c r="N3" s="20"/>
      <c r="O3" s="21">
        <f>Twirling_Solo_Program289101112131415161718525354555657586061636567686972737475[[#This Row],[Judge 2
Tihomir Bendelja]]-Twirling_Solo_Program289101112131415161718525354555657586061636567686972737475[[#This Row],[J2 (-)]]</f>
        <v>0</v>
      </c>
      <c r="P3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Row],[Category]],Twirling_Solo_Program289101112131415161718525354555657586061636567686972737475[J2 TOTAL],"&gt;"&amp;Twirling_Solo_Program289101112131415161718525354555657586061636567686972737475[[#This Row],[J2 TOTAL]])+1</f>
        <v>1</v>
      </c>
      <c r="Q3" s="19"/>
      <c r="R3" s="20"/>
      <c r="S3" s="21">
        <f>Twirling_Solo_Program289101112131415161718525354555657586061636567686972737475[[#This Row],[Judge 3
Barbara Novina]]-R3</f>
        <v>0</v>
      </c>
      <c r="T3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Row],[Category]],Twirling_Solo_Program289101112131415161718525354555657586061636567686972737475[J3 TOTAL],"&gt;"&amp;Twirling_Solo_Program289101112131415161718525354555657586061636567686972737475[[#This Row],[J3 TOTAL]])+1</f>
        <v>1</v>
      </c>
      <c r="U3" s="19">
        <v>74</v>
      </c>
      <c r="V3" s="20">
        <v>0</v>
      </c>
      <c r="W3" s="21">
        <f>Twirling_Solo_Program289101112131415161718525354555657586061636567686972737475[[#This Row],[Judge 4
Bernard Barač]]-V3</f>
        <v>74</v>
      </c>
      <c r="X3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Row],[Category]],Twirling_Solo_Program289101112131415161718525354555657586061636567686972737475[J4 TOTAL],"&gt;"&amp;Twirling_Solo_Program289101112131415161718525354555657586061636567686972737475[[#This Row],[J4 TOTAL]])+1</f>
        <v>1</v>
      </c>
      <c r="Y3" s="23">
        <f>SUM(Twirling_Solo_Program289101112131415161718525354555657586061636567686972737475[[#This Row],[J1 TOTAL]]+Twirling_Solo_Program289101112131415161718525354555657586061636567686972737475[[#This Row],[J2 TOTAL]]+Twirling_Solo_Program289101112131415161718525354555657586061636567686972737475[[#This Row],[J3 TOTAL]]+Twirling_Solo_Program289101112131415161718525354555657586061636567686972737475[[#This Row],[J4 TOTAL]])</f>
        <v>144.9</v>
      </c>
      <c r="Z3" s="23"/>
      <c r="AA3" s="23"/>
      <c r="AB3" s="23">
        <f>SUM(Twirling_Solo_Program289101112131415161718525354555657586061636567686972737475[[#This Row],[Total]]-Twirling_Solo_Program289101112131415161718525354555657586061636567686972737475[[#This Row],[Low]]-Twirling_Solo_Program289101112131415161718525354555657586061636567686972737475[[#This Row],[High]])</f>
        <v>144.9</v>
      </c>
      <c r="AC3" s="23">
        <f>AVERAGE(I3,M3,Q3,U3)</f>
        <v>72.45</v>
      </c>
      <c r="AD3" s="24">
        <f>Twirling_Solo_Program289101112131415161718525354555657586061636567686972737475[[#This Row],[Final Total]]</f>
        <v>144.9</v>
      </c>
      <c r="AE3" s="25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Row],[Category]],Twirling_Solo_Program289101112131415161718525354555657586061636567686972737475[FINAL SCORE],"&gt;"&amp;Twirling_Solo_Program289101112131415161718525354555657586061636567686972737475[[#This Row],[FINAL SCORE]])+1</f>
        <v>2</v>
      </c>
      <c r="AF3" s="16" t="s">
        <v>34</v>
      </c>
    </row>
    <row r="4" spans="1:51" x14ac:dyDescent="0.3">
      <c r="A4" s="16">
        <v>135</v>
      </c>
      <c r="B4" s="17">
        <v>1</v>
      </c>
      <c r="C4" s="17" t="s">
        <v>163</v>
      </c>
      <c r="D4" s="17" t="s">
        <v>23</v>
      </c>
      <c r="E4" s="17" t="s">
        <v>95</v>
      </c>
      <c r="F4" s="17" t="s">
        <v>171</v>
      </c>
      <c r="G4" s="17" t="s">
        <v>56</v>
      </c>
      <c r="H4" s="18" t="s">
        <v>25</v>
      </c>
      <c r="I4" s="19">
        <v>71.7</v>
      </c>
      <c r="J4" s="20">
        <v>1.5</v>
      </c>
      <c r="K4" s="21">
        <f>Twirling_Solo_Program289101112131415161718525354555657586061636567686972737475[[#This Row],[Judge 1
Tamara Beljak]]-J4</f>
        <v>70.2</v>
      </c>
      <c r="L4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Row],[Category]],Twirling_Solo_Program289101112131415161718525354555657586061636567686972737475[J1 TOTAL],"&gt;"&amp;Twirling_Solo_Program289101112131415161718525354555657586061636567686972737475[[#This Row],[J1 TOTAL]])+1</f>
        <v>3</v>
      </c>
      <c r="M4" s="19"/>
      <c r="N4" s="20"/>
      <c r="O4" s="21">
        <f>Twirling_Solo_Program289101112131415161718525354555657586061636567686972737475[[#This Row],[Judge 2
Tihomir Bendelja]]-Twirling_Solo_Program289101112131415161718525354555657586061636567686972737475[[#This Row],[J2 (-)]]</f>
        <v>0</v>
      </c>
      <c r="P4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Row],[Category]],Twirling_Solo_Program289101112131415161718525354555657586061636567686972737475[J2 TOTAL],"&gt;"&amp;Twirling_Solo_Program289101112131415161718525354555657586061636567686972737475[[#This Row],[J2 TOTAL]])+1</f>
        <v>1</v>
      </c>
      <c r="Q4" s="19"/>
      <c r="R4" s="20"/>
      <c r="S4" s="21">
        <f>Twirling_Solo_Program289101112131415161718525354555657586061636567686972737475[[#This Row],[Judge 3
Barbara Novina]]-R4</f>
        <v>0</v>
      </c>
      <c r="T4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Row],[Category]],Twirling_Solo_Program289101112131415161718525354555657586061636567686972737475[J3 TOTAL],"&gt;"&amp;Twirling_Solo_Program289101112131415161718525354555657586061636567686972737475[[#This Row],[J3 TOTAL]])+1</f>
        <v>1</v>
      </c>
      <c r="U4" s="19">
        <v>73.400000000000006</v>
      </c>
      <c r="V4" s="20">
        <v>2</v>
      </c>
      <c r="W4" s="21">
        <f>Twirling_Solo_Program289101112131415161718525354555657586061636567686972737475[[#This Row],[Judge 4
Bernard Barač]]-V4</f>
        <v>71.400000000000006</v>
      </c>
      <c r="X4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Row],[Category]],Twirling_Solo_Program289101112131415161718525354555657586061636567686972737475[J4 TOTAL],"&gt;"&amp;Twirling_Solo_Program289101112131415161718525354555657586061636567686972737475[[#This Row],[J4 TOTAL]])+1</f>
        <v>3</v>
      </c>
      <c r="Y4" s="23">
        <f>SUM(Twirling_Solo_Program289101112131415161718525354555657586061636567686972737475[[#This Row],[J1 TOTAL]]+Twirling_Solo_Program289101112131415161718525354555657586061636567686972737475[[#This Row],[J2 TOTAL]]+Twirling_Solo_Program289101112131415161718525354555657586061636567686972737475[[#This Row],[J3 TOTAL]]+Twirling_Solo_Program289101112131415161718525354555657586061636567686972737475[[#This Row],[J4 TOTAL]])</f>
        <v>141.60000000000002</v>
      </c>
      <c r="Z4" s="23"/>
      <c r="AA4" s="23"/>
      <c r="AB4" s="23">
        <f>SUM(Twirling_Solo_Program289101112131415161718525354555657586061636567686972737475[[#This Row],[Total]]-Twirling_Solo_Program289101112131415161718525354555657586061636567686972737475[[#This Row],[Low]]-Twirling_Solo_Program289101112131415161718525354555657586061636567686972737475[[#This Row],[High]])</f>
        <v>141.60000000000002</v>
      </c>
      <c r="AC4" s="23">
        <f>AVERAGE(I4,M4,Q4,U4)</f>
        <v>72.550000000000011</v>
      </c>
      <c r="AD4" s="24">
        <f>Twirling_Solo_Program289101112131415161718525354555657586061636567686972737475[[#This Row],[Final Total]]</f>
        <v>141.60000000000002</v>
      </c>
      <c r="AE4" s="25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Row],[Category]],Twirling_Solo_Program289101112131415161718525354555657586061636567686972737475[FINAL SCORE],"&gt;"&amp;Twirling_Solo_Program289101112131415161718525354555657586061636567686972737475[[#This Row],[FINAL SCORE]])+1</f>
        <v>3</v>
      </c>
      <c r="AF4" s="16" t="s">
        <v>34</v>
      </c>
    </row>
    <row r="5" spans="1:51" x14ac:dyDescent="0.3">
      <c r="A5" s="16">
        <v>131</v>
      </c>
      <c r="B5" s="17">
        <v>1</v>
      </c>
      <c r="C5" s="17" t="s">
        <v>163</v>
      </c>
      <c r="D5" s="17" t="s">
        <v>23</v>
      </c>
      <c r="E5" s="17" t="s">
        <v>95</v>
      </c>
      <c r="F5" s="17" t="s">
        <v>169</v>
      </c>
      <c r="G5" s="17" t="s">
        <v>56</v>
      </c>
      <c r="H5" s="18" t="s">
        <v>25</v>
      </c>
      <c r="I5" s="19">
        <v>71.5</v>
      </c>
      <c r="J5" s="20">
        <v>1.5</v>
      </c>
      <c r="K5" s="21">
        <f>Twirling_Solo_Program289101112131415161718525354555657586061636567686972737475[[#This Row],[Judge 1
Tamara Beljak]]-J5</f>
        <v>70</v>
      </c>
      <c r="L5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Row],[Category]],Twirling_Solo_Program289101112131415161718525354555657586061636567686972737475[J1 TOTAL],"&gt;"&amp;Twirling_Solo_Program289101112131415161718525354555657586061636567686972737475[[#This Row],[J1 TOTAL]])+1</f>
        <v>4</v>
      </c>
      <c r="M5" s="19"/>
      <c r="N5" s="20"/>
      <c r="O5" s="21">
        <f>Twirling_Solo_Program289101112131415161718525354555657586061636567686972737475[[#This Row],[Judge 2
Tihomir Bendelja]]-Twirling_Solo_Program289101112131415161718525354555657586061636567686972737475[[#This Row],[J2 (-)]]</f>
        <v>0</v>
      </c>
      <c r="P5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Row],[Category]],Twirling_Solo_Program289101112131415161718525354555657586061636567686972737475[J2 TOTAL],"&gt;"&amp;Twirling_Solo_Program289101112131415161718525354555657586061636567686972737475[[#This Row],[J2 TOTAL]])+1</f>
        <v>1</v>
      </c>
      <c r="Q5" s="19"/>
      <c r="R5" s="20"/>
      <c r="S5" s="21">
        <f>Twirling_Solo_Program289101112131415161718525354555657586061636567686972737475[[#This Row],[Judge 3
Barbara Novina]]-R5</f>
        <v>0</v>
      </c>
      <c r="T5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Row],[Category]],Twirling_Solo_Program289101112131415161718525354555657586061636567686972737475[J3 TOTAL],"&gt;"&amp;Twirling_Solo_Program289101112131415161718525354555657586061636567686972737475[[#This Row],[J3 TOTAL]])+1</f>
        <v>1</v>
      </c>
      <c r="U5" s="19">
        <v>71.900000000000006</v>
      </c>
      <c r="V5" s="20">
        <v>1.5</v>
      </c>
      <c r="W5" s="21">
        <f>Twirling_Solo_Program289101112131415161718525354555657586061636567686972737475[[#This Row],[Judge 4
Bernard Barač]]-V5</f>
        <v>70.400000000000006</v>
      </c>
      <c r="X5" s="22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Row],[Category]],Twirling_Solo_Program289101112131415161718525354555657586061636567686972737475[J4 TOTAL],"&gt;"&amp;Twirling_Solo_Program289101112131415161718525354555657586061636567686972737475[[#This Row],[J4 TOTAL]])+1</f>
        <v>4</v>
      </c>
      <c r="Y5" s="23">
        <f>SUM(Twirling_Solo_Program289101112131415161718525354555657586061636567686972737475[[#This Row],[J1 TOTAL]]+Twirling_Solo_Program289101112131415161718525354555657586061636567686972737475[[#This Row],[J2 TOTAL]]+Twirling_Solo_Program289101112131415161718525354555657586061636567686972737475[[#This Row],[J3 TOTAL]]+Twirling_Solo_Program289101112131415161718525354555657586061636567686972737475[[#This Row],[J4 TOTAL]])</f>
        <v>140.4</v>
      </c>
      <c r="Z5" s="23"/>
      <c r="AA5" s="23"/>
      <c r="AB5" s="23">
        <f>SUM(Twirling_Solo_Program289101112131415161718525354555657586061636567686972737475[[#This Row],[Total]]-Twirling_Solo_Program289101112131415161718525354555657586061636567686972737475[[#This Row],[Low]]-Twirling_Solo_Program289101112131415161718525354555657586061636567686972737475[[#This Row],[High]])</f>
        <v>140.4</v>
      </c>
      <c r="AC5" s="23">
        <f>AVERAGE(I5,M5,Q5,U5)</f>
        <v>71.7</v>
      </c>
      <c r="AD5" s="24">
        <f>Twirling_Solo_Program289101112131415161718525354555657586061636567686972737475[[#This Row],[Final Total]]</f>
        <v>140.4</v>
      </c>
      <c r="AE5" s="25">
        <f>COUNTIFS(Twirling_Solo_Program289101112131415161718525354555657586061636567686972737475[Age
Division],Twirling_Solo_Program289101112131415161718525354555657586061636567686972737475[[#This Row],[Age
Division]],Twirling_Solo_Program289101112131415161718525354555657586061636567686972737475[Category],Twirling_Solo_Program289101112131415161718525354555657586061636567686972737475[[#This Row],[Category]],Twirling_Solo_Program289101112131415161718525354555657586061636567686972737475[FINAL SCORE],"&gt;"&amp;Twirling_Solo_Program289101112131415161718525354555657586061636567686972737475[[#This Row],[FINAL SCORE]])+1</f>
        <v>4</v>
      </c>
      <c r="AF5" s="16" t="s">
        <v>34</v>
      </c>
    </row>
  </sheetData>
  <sheetProtection algorithmName="SHA-512" hashValue="IK7OMjW5A3m3k+uAkTwbW6TAVgGk6eLJGqfE1Q9bpsSVIxl1wAh7UcLfaK9/fljbMPfUomPtFTfq8hxk3el4qw==" saltValue="FqMUrLkYW787qahugtNkW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Y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28515625" style="27" customWidth="1"/>
    <col min="4" max="4" width="9.28515625" style="28" customWidth="1"/>
    <col min="5" max="5" width="14.140625" style="28" customWidth="1"/>
    <col min="6" max="6" width="27.42578125" style="18" bestFit="1" customWidth="1"/>
    <col min="7" max="7" width="43.28515625" style="18" bestFit="1" customWidth="1"/>
    <col min="8" max="8" width="9.5703125" style="18" customWidth="1"/>
    <col min="9" max="12" width="9.140625" style="18" hidden="1" customWidth="1"/>
    <col min="13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5.285156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134</v>
      </c>
      <c r="B2" s="17">
        <v>2</v>
      </c>
      <c r="C2" s="17" t="s">
        <v>163</v>
      </c>
      <c r="D2" s="17" t="s">
        <v>27</v>
      </c>
      <c r="E2" s="17" t="s">
        <v>94</v>
      </c>
      <c r="F2" s="17" t="s">
        <v>178</v>
      </c>
      <c r="G2" s="17" t="s">
        <v>120</v>
      </c>
      <c r="H2" s="18" t="s">
        <v>28</v>
      </c>
      <c r="I2" s="19"/>
      <c r="J2" s="20"/>
      <c r="K2" s="21">
        <f>Twirling_Solo_Program2891011121314151617185253545556575860616365676869727374757677[[#This Row],[Judge 1
Tamara Beljak]]-J2</f>
        <v>0</v>
      </c>
      <c r="L2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Row],[Category]],Twirling_Solo_Program2891011121314151617185253545556575860616365676869727374757677[J1 TOTAL],"&gt;"&amp;Twirling_Solo_Program2891011121314151617185253545556575860616365676869727374757677[[#This Row],[J1 TOTAL]])+1</f>
        <v>1</v>
      </c>
      <c r="M2" s="19">
        <v>64.3</v>
      </c>
      <c r="N2" s="20">
        <v>0.5</v>
      </c>
      <c r="O2" s="21">
        <f>Twirling_Solo_Program2891011121314151617185253545556575860616365676869727374757677[[#This Row],[Judge 2
Tihomir Bendelja]]-Twirling_Solo_Program2891011121314151617185253545556575860616365676869727374757677[[#This Row],[J2 (-)]]</f>
        <v>63.8</v>
      </c>
      <c r="P2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Row],[Category]],Twirling_Solo_Program2891011121314151617185253545556575860616365676869727374757677[J2 TOTAL],"&gt;"&amp;Twirling_Solo_Program2891011121314151617185253545556575860616365676869727374757677[[#This Row],[J2 TOTAL]])+1</f>
        <v>1</v>
      </c>
      <c r="Q2" s="19">
        <v>66.400000000000006</v>
      </c>
      <c r="R2" s="20">
        <v>0.5</v>
      </c>
      <c r="S2" s="21">
        <f>Twirling_Solo_Program2891011121314151617185253545556575860616365676869727374757677[[#This Row],[Judge 3
Barbara Novina]]-R2</f>
        <v>65.900000000000006</v>
      </c>
      <c r="T2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Row],[Category]],Twirling_Solo_Program2891011121314151617185253545556575860616365676869727374757677[J3 TOTAL],"&gt;"&amp;Twirling_Solo_Program2891011121314151617185253545556575860616365676869727374757677[[#This Row],[J3 TOTAL]])+1</f>
        <v>1</v>
      </c>
      <c r="U2" s="19"/>
      <c r="V2" s="20"/>
      <c r="W2" s="21">
        <f>Twirling_Solo_Program2891011121314151617185253545556575860616365676869727374757677[[#This Row],[Judge 4
Bernard Barač]]-V2</f>
        <v>0</v>
      </c>
      <c r="X2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Row],[Category]],Twirling_Solo_Program2891011121314151617185253545556575860616365676869727374757677[J4 TOTAL],"&gt;"&amp;Twirling_Solo_Program2891011121314151617185253545556575860616365676869727374757677[[#This Row],[J4 TOTAL]])+1</f>
        <v>1</v>
      </c>
      <c r="Y2" s="23">
        <f>SUM(Twirling_Solo_Program2891011121314151617185253545556575860616365676869727374757677[[#This Row],[J1 TOTAL]]+Twirling_Solo_Program2891011121314151617185253545556575860616365676869727374757677[[#This Row],[J2 TOTAL]]+Twirling_Solo_Program2891011121314151617185253545556575860616365676869727374757677[[#This Row],[J3 TOTAL]]+Twirling_Solo_Program2891011121314151617185253545556575860616365676869727374757677[[#This Row],[J4 TOTAL]])</f>
        <v>129.69999999999999</v>
      </c>
      <c r="Z2" s="23"/>
      <c r="AA2" s="23"/>
      <c r="AB2" s="23">
        <f>SUM(Twirling_Solo_Program2891011121314151617185253545556575860616365676869727374757677[[#This Row],[Total]]-Twirling_Solo_Program2891011121314151617185253545556575860616365676869727374757677[[#This Row],[Low]]-Twirling_Solo_Program2891011121314151617185253545556575860616365676869727374757677[[#This Row],[High]])</f>
        <v>129.69999999999999</v>
      </c>
      <c r="AC2" s="23">
        <f t="shared" ref="AC2:AC7" si="0">AVERAGE(I2,M2,Q2,U2)</f>
        <v>65.349999999999994</v>
      </c>
      <c r="AD2" s="24">
        <f>Twirling_Solo_Program2891011121314151617185253545556575860616365676869727374757677[[#This Row],[Final Total]]</f>
        <v>129.69999999999999</v>
      </c>
      <c r="AE2" s="25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Row],[Category]],Twirling_Solo_Program2891011121314151617185253545556575860616365676869727374757677[FINAL SCORE],"&gt;"&amp;Twirling_Solo_Program2891011121314151617185253545556575860616365676869727374757677[[#This Row],[FINAL SCORE]])+1</f>
        <v>1</v>
      </c>
      <c r="AF2" s="16" t="s">
        <v>34</v>
      </c>
    </row>
    <row r="3" spans="1:51" x14ac:dyDescent="0.3">
      <c r="A3" s="16">
        <v>128</v>
      </c>
      <c r="B3" s="17">
        <v>2</v>
      </c>
      <c r="C3" s="17" t="s">
        <v>163</v>
      </c>
      <c r="D3" s="17" t="s">
        <v>27</v>
      </c>
      <c r="E3" s="17" t="s">
        <v>94</v>
      </c>
      <c r="F3" s="17" t="s">
        <v>175</v>
      </c>
      <c r="G3" s="17" t="s">
        <v>32</v>
      </c>
      <c r="H3" s="18" t="s">
        <v>25</v>
      </c>
      <c r="I3" s="19"/>
      <c r="J3" s="20"/>
      <c r="K3" s="21">
        <f>Twirling_Solo_Program2891011121314151617185253545556575860616365676869727374757677[[#This Row],[Judge 1
Tamara Beljak]]-J3</f>
        <v>0</v>
      </c>
      <c r="L3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Row],[Category]],Twirling_Solo_Program2891011121314151617185253545556575860616365676869727374757677[J1 TOTAL],"&gt;"&amp;Twirling_Solo_Program2891011121314151617185253545556575860616365676869727374757677[[#This Row],[J1 TOTAL]])+1</f>
        <v>1</v>
      </c>
      <c r="M3" s="19">
        <v>64.599999999999994</v>
      </c>
      <c r="N3" s="20">
        <v>1</v>
      </c>
      <c r="O3" s="21">
        <f>Twirling_Solo_Program2891011121314151617185253545556575860616365676869727374757677[[#This Row],[Judge 2
Tihomir Bendelja]]-Twirling_Solo_Program2891011121314151617185253545556575860616365676869727374757677[[#This Row],[J2 (-)]]</f>
        <v>63.599999999999994</v>
      </c>
      <c r="P3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Row],[Category]],Twirling_Solo_Program2891011121314151617185253545556575860616365676869727374757677[J2 TOTAL],"&gt;"&amp;Twirling_Solo_Program2891011121314151617185253545556575860616365676869727374757677[[#This Row],[J2 TOTAL]])+1</f>
        <v>2</v>
      </c>
      <c r="Q3" s="19">
        <v>65.7</v>
      </c>
      <c r="R3" s="20">
        <v>1</v>
      </c>
      <c r="S3" s="21">
        <f>Twirling_Solo_Program2891011121314151617185253545556575860616365676869727374757677[[#This Row],[Judge 3
Barbara Novina]]-R3</f>
        <v>64.7</v>
      </c>
      <c r="T3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Row],[Category]],Twirling_Solo_Program2891011121314151617185253545556575860616365676869727374757677[J3 TOTAL],"&gt;"&amp;Twirling_Solo_Program2891011121314151617185253545556575860616365676869727374757677[[#This Row],[J3 TOTAL]])+1</f>
        <v>2</v>
      </c>
      <c r="U3" s="19"/>
      <c r="V3" s="20"/>
      <c r="W3" s="21">
        <f>Twirling_Solo_Program2891011121314151617185253545556575860616365676869727374757677[[#This Row],[Judge 4
Bernard Barač]]-V3</f>
        <v>0</v>
      </c>
      <c r="X3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Row],[Category]],Twirling_Solo_Program2891011121314151617185253545556575860616365676869727374757677[J4 TOTAL],"&gt;"&amp;Twirling_Solo_Program2891011121314151617185253545556575860616365676869727374757677[[#This Row],[J4 TOTAL]])+1</f>
        <v>1</v>
      </c>
      <c r="Y3" s="23">
        <f>SUM(Twirling_Solo_Program2891011121314151617185253545556575860616365676869727374757677[[#This Row],[J1 TOTAL]]+Twirling_Solo_Program2891011121314151617185253545556575860616365676869727374757677[[#This Row],[J2 TOTAL]]+Twirling_Solo_Program2891011121314151617185253545556575860616365676869727374757677[[#This Row],[J3 TOTAL]]+Twirling_Solo_Program2891011121314151617185253545556575860616365676869727374757677[[#This Row],[J4 TOTAL]])</f>
        <v>128.30000000000001</v>
      </c>
      <c r="Z3" s="23"/>
      <c r="AA3" s="23"/>
      <c r="AB3" s="23">
        <f>SUM(Twirling_Solo_Program2891011121314151617185253545556575860616365676869727374757677[[#This Row],[Total]]-Twirling_Solo_Program2891011121314151617185253545556575860616365676869727374757677[[#This Row],[Low]]-Twirling_Solo_Program2891011121314151617185253545556575860616365676869727374757677[[#This Row],[High]])</f>
        <v>128.30000000000001</v>
      </c>
      <c r="AC3" s="23">
        <f t="shared" si="0"/>
        <v>65.150000000000006</v>
      </c>
      <c r="AD3" s="24">
        <f>Twirling_Solo_Program2891011121314151617185253545556575860616365676869727374757677[[#This Row],[Final Total]]</f>
        <v>128.30000000000001</v>
      </c>
      <c r="AE3" s="25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Row],[Category]],Twirling_Solo_Program2891011121314151617185253545556575860616365676869727374757677[FINAL SCORE],"&gt;"&amp;Twirling_Solo_Program2891011121314151617185253545556575860616365676869727374757677[[#This Row],[FINAL SCORE]])+1</f>
        <v>2</v>
      </c>
      <c r="AF3" s="16" t="s">
        <v>34</v>
      </c>
    </row>
    <row r="4" spans="1:51" x14ac:dyDescent="0.3">
      <c r="A4" s="16">
        <v>132</v>
      </c>
      <c r="B4" s="17">
        <v>2</v>
      </c>
      <c r="C4" s="17" t="s">
        <v>163</v>
      </c>
      <c r="D4" s="17" t="s">
        <v>27</v>
      </c>
      <c r="E4" s="17" t="s">
        <v>94</v>
      </c>
      <c r="F4" s="17" t="s">
        <v>177</v>
      </c>
      <c r="G4" s="17" t="s">
        <v>58</v>
      </c>
      <c r="H4" s="18" t="s">
        <v>25</v>
      </c>
      <c r="I4" s="19"/>
      <c r="J4" s="20"/>
      <c r="K4" s="21">
        <f>Twirling_Solo_Program2891011121314151617185253545556575860616365676869727374757677[[#This Row],[Judge 1
Tamara Beljak]]-J4</f>
        <v>0</v>
      </c>
      <c r="L4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Row],[Category]],Twirling_Solo_Program2891011121314151617185253545556575860616365676869727374757677[J1 TOTAL],"&gt;"&amp;Twirling_Solo_Program2891011121314151617185253545556575860616365676869727374757677[[#This Row],[J1 TOTAL]])+1</f>
        <v>1</v>
      </c>
      <c r="M4" s="19">
        <v>60.8</v>
      </c>
      <c r="N4" s="20">
        <v>0</v>
      </c>
      <c r="O4" s="21">
        <f>Twirling_Solo_Program2891011121314151617185253545556575860616365676869727374757677[[#This Row],[Judge 2
Tihomir Bendelja]]-Twirling_Solo_Program2891011121314151617185253545556575860616365676869727374757677[[#This Row],[J2 (-)]]</f>
        <v>60.8</v>
      </c>
      <c r="P4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Row],[Category]],Twirling_Solo_Program2891011121314151617185253545556575860616365676869727374757677[J2 TOTAL],"&gt;"&amp;Twirling_Solo_Program2891011121314151617185253545556575860616365676869727374757677[[#This Row],[J2 TOTAL]])+1</f>
        <v>4</v>
      </c>
      <c r="Q4" s="19">
        <v>63.7</v>
      </c>
      <c r="R4" s="20">
        <v>0</v>
      </c>
      <c r="S4" s="21">
        <f>Twirling_Solo_Program2891011121314151617185253545556575860616365676869727374757677[[#This Row],[Judge 3
Barbara Novina]]-R4</f>
        <v>63.7</v>
      </c>
      <c r="T4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Row],[Category]],Twirling_Solo_Program2891011121314151617185253545556575860616365676869727374757677[J3 TOTAL],"&gt;"&amp;Twirling_Solo_Program2891011121314151617185253545556575860616365676869727374757677[[#This Row],[J3 TOTAL]])+1</f>
        <v>3</v>
      </c>
      <c r="U4" s="19"/>
      <c r="V4" s="20"/>
      <c r="W4" s="21">
        <f>Twirling_Solo_Program2891011121314151617185253545556575860616365676869727374757677[[#This Row],[Judge 4
Bernard Barač]]-V4</f>
        <v>0</v>
      </c>
      <c r="X4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Row],[Category]],Twirling_Solo_Program2891011121314151617185253545556575860616365676869727374757677[J4 TOTAL],"&gt;"&amp;Twirling_Solo_Program2891011121314151617185253545556575860616365676869727374757677[[#This Row],[J4 TOTAL]])+1</f>
        <v>1</v>
      </c>
      <c r="Y4" s="23">
        <f>SUM(Twirling_Solo_Program2891011121314151617185253545556575860616365676869727374757677[[#This Row],[J1 TOTAL]]+Twirling_Solo_Program2891011121314151617185253545556575860616365676869727374757677[[#This Row],[J2 TOTAL]]+Twirling_Solo_Program2891011121314151617185253545556575860616365676869727374757677[[#This Row],[J3 TOTAL]]+Twirling_Solo_Program2891011121314151617185253545556575860616365676869727374757677[[#This Row],[J4 TOTAL]])</f>
        <v>124.5</v>
      </c>
      <c r="Z4" s="23"/>
      <c r="AA4" s="23"/>
      <c r="AB4" s="23">
        <f>SUM(Twirling_Solo_Program2891011121314151617185253545556575860616365676869727374757677[[#This Row],[Total]]-Twirling_Solo_Program2891011121314151617185253545556575860616365676869727374757677[[#This Row],[Low]]-Twirling_Solo_Program2891011121314151617185253545556575860616365676869727374757677[[#This Row],[High]])</f>
        <v>124.5</v>
      </c>
      <c r="AC4" s="23">
        <f t="shared" si="0"/>
        <v>62.25</v>
      </c>
      <c r="AD4" s="24">
        <f>Twirling_Solo_Program2891011121314151617185253545556575860616365676869727374757677[[#This Row],[Final Total]]</f>
        <v>124.5</v>
      </c>
      <c r="AE4" s="25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Row],[Category]],Twirling_Solo_Program2891011121314151617185253545556575860616365676869727374757677[FINAL SCORE],"&gt;"&amp;Twirling_Solo_Program2891011121314151617185253545556575860616365676869727374757677[[#This Row],[FINAL SCORE]])+1</f>
        <v>3</v>
      </c>
      <c r="AF4" s="16" t="s">
        <v>34</v>
      </c>
    </row>
    <row r="5" spans="1:51" x14ac:dyDescent="0.3">
      <c r="A5" s="16">
        <v>136</v>
      </c>
      <c r="B5" s="17">
        <v>2</v>
      </c>
      <c r="C5" s="17" t="s">
        <v>163</v>
      </c>
      <c r="D5" s="17" t="s">
        <v>27</v>
      </c>
      <c r="E5" s="17" t="s">
        <v>94</v>
      </c>
      <c r="F5" s="17" t="s">
        <v>179</v>
      </c>
      <c r="G5" s="17" t="s">
        <v>73</v>
      </c>
      <c r="H5" s="18" t="s">
        <v>25</v>
      </c>
      <c r="I5" s="19"/>
      <c r="J5" s="20"/>
      <c r="K5" s="21">
        <f>Twirling_Solo_Program2891011121314151617185253545556575860616365676869727374757677[[#This Row],[Judge 1
Tamara Beljak]]-J5</f>
        <v>0</v>
      </c>
      <c r="L5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Row],[Category]],Twirling_Solo_Program2891011121314151617185253545556575860616365676869727374757677[J1 TOTAL],"&gt;"&amp;Twirling_Solo_Program2891011121314151617185253545556575860616365676869727374757677[[#This Row],[J1 TOTAL]])+1</f>
        <v>1</v>
      </c>
      <c r="M5" s="19">
        <v>60.8</v>
      </c>
      <c r="N5" s="20">
        <v>0</v>
      </c>
      <c r="O5" s="21">
        <f>Twirling_Solo_Program2891011121314151617185253545556575860616365676869727374757677[[#This Row],[Judge 2
Tihomir Bendelja]]-Twirling_Solo_Program2891011121314151617185253545556575860616365676869727374757677[[#This Row],[J2 (-)]]</f>
        <v>60.8</v>
      </c>
      <c r="P5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Row],[Category]],Twirling_Solo_Program2891011121314151617185253545556575860616365676869727374757677[J2 TOTAL],"&gt;"&amp;Twirling_Solo_Program2891011121314151617185253545556575860616365676869727374757677[[#This Row],[J2 TOTAL]])+1</f>
        <v>4</v>
      </c>
      <c r="Q5" s="19">
        <v>63.3</v>
      </c>
      <c r="R5" s="20">
        <v>0</v>
      </c>
      <c r="S5" s="21">
        <f>Twirling_Solo_Program2891011121314151617185253545556575860616365676869727374757677[[#This Row],[Judge 3
Barbara Novina]]-R5</f>
        <v>63.3</v>
      </c>
      <c r="T5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Row],[Category]],Twirling_Solo_Program2891011121314151617185253545556575860616365676869727374757677[J3 TOTAL],"&gt;"&amp;Twirling_Solo_Program2891011121314151617185253545556575860616365676869727374757677[[#This Row],[J3 TOTAL]])+1</f>
        <v>4</v>
      </c>
      <c r="U5" s="19"/>
      <c r="V5" s="20"/>
      <c r="W5" s="21">
        <f>Twirling_Solo_Program2891011121314151617185253545556575860616365676869727374757677[[#This Row],[Judge 4
Bernard Barač]]-V5</f>
        <v>0</v>
      </c>
      <c r="X5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Row],[Category]],Twirling_Solo_Program2891011121314151617185253545556575860616365676869727374757677[J4 TOTAL],"&gt;"&amp;Twirling_Solo_Program2891011121314151617185253545556575860616365676869727374757677[[#This Row],[J4 TOTAL]])+1</f>
        <v>1</v>
      </c>
      <c r="Y5" s="23">
        <f>SUM(Twirling_Solo_Program2891011121314151617185253545556575860616365676869727374757677[[#This Row],[J1 TOTAL]]+Twirling_Solo_Program2891011121314151617185253545556575860616365676869727374757677[[#This Row],[J2 TOTAL]]+Twirling_Solo_Program2891011121314151617185253545556575860616365676869727374757677[[#This Row],[J3 TOTAL]]+Twirling_Solo_Program2891011121314151617185253545556575860616365676869727374757677[[#This Row],[J4 TOTAL]])</f>
        <v>124.1</v>
      </c>
      <c r="Z5" s="23"/>
      <c r="AA5" s="23"/>
      <c r="AB5" s="23">
        <f>SUM(Twirling_Solo_Program2891011121314151617185253545556575860616365676869727374757677[[#This Row],[Total]]-Twirling_Solo_Program2891011121314151617185253545556575860616365676869727374757677[[#This Row],[Low]]-Twirling_Solo_Program2891011121314151617185253545556575860616365676869727374757677[[#This Row],[High]])</f>
        <v>124.1</v>
      </c>
      <c r="AC5" s="23">
        <f t="shared" si="0"/>
        <v>62.05</v>
      </c>
      <c r="AD5" s="24">
        <f>Twirling_Solo_Program2891011121314151617185253545556575860616365676869727374757677[[#This Row],[Final Total]]</f>
        <v>124.1</v>
      </c>
      <c r="AE5" s="25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Row],[Category]],Twirling_Solo_Program2891011121314151617185253545556575860616365676869727374757677[FINAL SCORE],"&gt;"&amp;Twirling_Solo_Program2891011121314151617185253545556575860616365676869727374757677[[#This Row],[FINAL SCORE]])+1</f>
        <v>4</v>
      </c>
      <c r="AF5" s="16" t="s">
        <v>34</v>
      </c>
    </row>
    <row r="6" spans="1:51" x14ac:dyDescent="0.3">
      <c r="A6" s="16">
        <v>130</v>
      </c>
      <c r="B6" s="17">
        <v>2</v>
      </c>
      <c r="C6" s="17" t="s">
        <v>163</v>
      </c>
      <c r="D6" s="17" t="s">
        <v>27</v>
      </c>
      <c r="E6" s="17" t="s">
        <v>94</v>
      </c>
      <c r="F6" s="17" t="s">
        <v>176</v>
      </c>
      <c r="G6" s="17" t="s">
        <v>88</v>
      </c>
      <c r="H6" s="18" t="s">
        <v>28</v>
      </c>
      <c r="I6" s="19"/>
      <c r="J6" s="20"/>
      <c r="K6" s="21">
        <f>Twirling_Solo_Program2891011121314151617185253545556575860616365676869727374757677[[#This Row],[Judge 1
Tamara Beljak]]-J6</f>
        <v>0</v>
      </c>
      <c r="L6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Row],[Category]],Twirling_Solo_Program2891011121314151617185253545556575860616365676869727374757677[J1 TOTAL],"&gt;"&amp;Twirling_Solo_Program2891011121314151617185253545556575860616365676869727374757677[[#This Row],[J1 TOTAL]])+1</f>
        <v>1</v>
      </c>
      <c r="M6" s="19">
        <v>61.4</v>
      </c>
      <c r="N6" s="20">
        <v>0.5</v>
      </c>
      <c r="O6" s="21">
        <f>Twirling_Solo_Program2891011121314151617185253545556575860616365676869727374757677[[#This Row],[Judge 2
Tihomir Bendelja]]-Twirling_Solo_Program2891011121314151617185253545556575860616365676869727374757677[[#This Row],[J2 (-)]]</f>
        <v>60.9</v>
      </c>
      <c r="P6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Row],[Category]],Twirling_Solo_Program2891011121314151617185253545556575860616365676869727374757677[J2 TOTAL],"&gt;"&amp;Twirling_Solo_Program2891011121314151617185253545556575860616365676869727374757677[[#This Row],[J2 TOTAL]])+1</f>
        <v>3</v>
      </c>
      <c r="Q6" s="19">
        <v>62.6</v>
      </c>
      <c r="R6" s="20">
        <v>0.5</v>
      </c>
      <c r="S6" s="21">
        <f>Twirling_Solo_Program2891011121314151617185253545556575860616365676869727374757677[[#This Row],[Judge 3
Barbara Novina]]-R6</f>
        <v>62.1</v>
      </c>
      <c r="T6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Row],[Category]],Twirling_Solo_Program2891011121314151617185253545556575860616365676869727374757677[J3 TOTAL],"&gt;"&amp;Twirling_Solo_Program2891011121314151617185253545556575860616365676869727374757677[[#This Row],[J3 TOTAL]])+1</f>
        <v>5</v>
      </c>
      <c r="U6" s="19"/>
      <c r="V6" s="20"/>
      <c r="W6" s="21">
        <f>Twirling_Solo_Program2891011121314151617185253545556575860616365676869727374757677[[#This Row],[Judge 4
Bernard Barač]]-V6</f>
        <v>0</v>
      </c>
      <c r="X6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Row],[Category]],Twirling_Solo_Program2891011121314151617185253545556575860616365676869727374757677[J4 TOTAL],"&gt;"&amp;Twirling_Solo_Program2891011121314151617185253545556575860616365676869727374757677[[#This Row],[J4 TOTAL]])+1</f>
        <v>1</v>
      </c>
      <c r="Y6" s="23">
        <f>SUM(Twirling_Solo_Program2891011121314151617185253545556575860616365676869727374757677[[#This Row],[J1 TOTAL]]+Twirling_Solo_Program2891011121314151617185253545556575860616365676869727374757677[[#This Row],[J2 TOTAL]]+Twirling_Solo_Program2891011121314151617185253545556575860616365676869727374757677[[#This Row],[J3 TOTAL]]+Twirling_Solo_Program2891011121314151617185253545556575860616365676869727374757677[[#This Row],[J4 TOTAL]])</f>
        <v>123</v>
      </c>
      <c r="Z6" s="23"/>
      <c r="AA6" s="23"/>
      <c r="AB6" s="23">
        <f>SUM(Twirling_Solo_Program2891011121314151617185253545556575860616365676869727374757677[[#This Row],[Total]]-Twirling_Solo_Program2891011121314151617185253545556575860616365676869727374757677[[#This Row],[Low]]-Twirling_Solo_Program2891011121314151617185253545556575860616365676869727374757677[[#This Row],[High]])</f>
        <v>123</v>
      </c>
      <c r="AC6" s="23">
        <f t="shared" si="0"/>
        <v>62</v>
      </c>
      <c r="AD6" s="24">
        <f>Twirling_Solo_Program2891011121314151617185253545556575860616365676869727374757677[[#This Row],[Final Total]]</f>
        <v>123</v>
      </c>
      <c r="AE6" s="25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Row],[Category]],Twirling_Solo_Program2891011121314151617185253545556575860616365676869727374757677[FINAL SCORE],"&gt;"&amp;Twirling_Solo_Program2891011121314151617185253545556575860616365676869727374757677[[#This Row],[FINAL SCORE]])+1</f>
        <v>5</v>
      </c>
      <c r="AF6" s="16" t="s">
        <v>34</v>
      </c>
    </row>
    <row r="7" spans="1:51" x14ac:dyDescent="0.3">
      <c r="A7" s="16">
        <v>126</v>
      </c>
      <c r="B7" s="17">
        <v>2</v>
      </c>
      <c r="C7" s="17" t="s">
        <v>163</v>
      </c>
      <c r="D7" s="17" t="s">
        <v>27</v>
      </c>
      <c r="E7" s="17" t="s">
        <v>94</v>
      </c>
      <c r="F7" s="17" t="s">
        <v>174</v>
      </c>
      <c r="G7" s="17" t="s">
        <v>52</v>
      </c>
      <c r="H7" s="18" t="s">
        <v>25</v>
      </c>
      <c r="I7" s="19"/>
      <c r="J7" s="20"/>
      <c r="K7" s="21">
        <f>Twirling_Solo_Program2891011121314151617185253545556575860616365676869727374757677[[#This Row],[Judge 1
Tamara Beljak]]-J7</f>
        <v>0</v>
      </c>
      <c r="L7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Row],[Category]],Twirling_Solo_Program2891011121314151617185253545556575860616365676869727374757677[J1 TOTAL],"&gt;"&amp;Twirling_Solo_Program2891011121314151617185253545556575860616365676869727374757677[[#This Row],[J1 TOTAL]])+1</f>
        <v>1</v>
      </c>
      <c r="M7" s="19">
        <v>61.5</v>
      </c>
      <c r="N7" s="20">
        <v>1.5</v>
      </c>
      <c r="O7" s="21">
        <f>Twirling_Solo_Program2891011121314151617185253545556575860616365676869727374757677[[#This Row],[Judge 2
Tihomir Bendelja]]-Twirling_Solo_Program2891011121314151617185253545556575860616365676869727374757677[[#This Row],[J2 (-)]]</f>
        <v>60</v>
      </c>
      <c r="P7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Row],[Category]],Twirling_Solo_Program2891011121314151617185253545556575860616365676869727374757677[J2 TOTAL],"&gt;"&amp;Twirling_Solo_Program2891011121314151617185253545556575860616365676869727374757677[[#This Row],[J2 TOTAL]])+1</f>
        <v>6</v>
      </c>
      <c r="Q7" s="19">
        <v>63.2</v>
      </c>
      <c r="R7" s="20">
        <v>1.6</v>
      </c>
      <c r="S7" s="21">
        <f>Twirling_Solo_Program2891011121314151617185253545556575860616365676869727374757677[[#This Row],[Judge 3
Barbara Novina]]-R7</f>
        <v>61.6</v>
      </c>
      <c r="T7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Row],[Category]],Twirling_Solo_Program2891011121314151617185253545556575860616365676869727374757677[J3 TOTAL],"&gt;"&amp;Twirling_Solo_Program2891011121314151617185253545556575860616365676869727374757677[[#This Row],[J3 TOTAL]])+1</f>
        <v>6</v>
      </c>
      <c r="U7" s="19"/>
      <c r="V7" s="20"/>
      <c r="W7" s="21">
        <f>Twirling_Solo_Program2891011121314151617185253545556575860616365676869727374757677[[#This Row],[Judge 4
Bernard Barač]]-V7</f>
        <v>0</v>
      </c>
      <c r="X7" s="22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Row],[Category]],Twirling_Solo_Program2891011121314151617185253545556575860616365676869727374757677[J4 TOTAL],"&gt;"&amp;Twirling_Solo_Program2891011121314151617185253545556575860616365676869727374757677[[#This Row],[J4 TOTAL]])+1</f>
        <v>1</v>
      </c>
      <c r="Y7" s="23">
        <f>SUM(Twirling_Solo_Program2891011121314151617185253545556575860616365676869727374757677[[#This Row],[J1 TOTAL]]+Twirling_Solo_Program2891011121314151617185253545556575860616365676869727374757677[[#This Row],[J2 TOTAL]]+Twirling_Solo_Program2891011121314151617185253545556575860616365676869727374757677[[#This Row],[J3 TOTAL]]+Twirling_Solo_Program2891011121314151617185253545556575860616365676869727374757677[[#This Row],[J4 TOTAL]])</f>
        <v>121.6</v>
      </c>
      <c r="Z7" s="23"/>
      <c r="AA7" s="23"/>
      <c r="AB7" s="23">
        <f>SUM(Twirling_Solo_Program2891011121314151617185253545556575860616365676869727374757677[[#This Row],[Total]]-Twirling_Solo_Program2891011121314151617185253545556575860616365676869727374757677[[#This Row],[Low]]-Twirling_Solo_Program2891011121314151617185253545556575860616365676869727374757677[[#This Row],[High]])</f>
        <v>121.6</v>
      </c>
      <c r="AC7" s="23">
        <f t="shared" si="0"/>
        <v>62.35</v>
      </c>
      <c r="AD7" s="24">
        <f>Twirling_Solo_Program2891011121314151617185253545556575860616365676869727374757677[[#This Row],[Final Total]]</f>
        <v>121.6</v>
      </c>
      <c r="AE7" s="25">
        <f>COUNTIFS(Twirling_Solo_Program2891011121314151617185253545556575860616365676869727374757677[Age
Division],Twirling_Solo_Program2891011121314151617185253545556575860616365676869727374757677[[#This Row],[Age
Division]],Twirling_Solo_Program2891011121314151617185253545556575860616365676869727374757677[Category],Twirling_Solo_Program2891011121314151617185253545556575860616365676869727374757677[[#This Row],[Category]],Twirling_Solo_Program2891011121314151617185253545556575860616365676869727374757677[FINAL SCORE],"&gt;"&amp;Twirling_Solo_Program2891011121314151617185253545556575860616365676869727374757677[[#This Row],[FINAL SCORE]])+1</f>
        <v>6</v>
      </c>
      <c r="AF7" s="16" t="s">
        <v>34</v>
      </c>
    </row>
  </sheetData>
  <sheetProtection algorithmName="SHA-512" hashValue="5TGxqMAO/RtBsHveaiMCr556MpAe32V763682LkZxd4DDcgRHzI79EoqwLrUvCWKWWuWXd2MLX8Uaceq0GFiWg==" saltValue="2ZAWRORTWdioDv97ibhGAQ==" spinCount="100000" sheet="1" objects="1" scenarios="1" formatColumns="0" formatRows="0" autoFilter="0"/>
  <pageMargins left="0.25" right="0.25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7109375" style="27" customWidth="1"/>
    <col min="4" max="4" width="9.7109375" style="28" customWidth="1"/>
    <col min="5" max="5" width="10.28515625" style="28" customWidth="1"/>
    <col min="6" max="6" width="16.5703125" style="18" customWidth="1"/>
    <col min="7" max="7" width="46.42578125" style="18" customWidth="1"/>
    <col min="8" max="8" width="9.28515625" style="18" customWidth="1"/>
    <col min="9" max="12" width="9.140625" style="18" customWidth="1"/>
    <col min="13" max="16" width="9.140625" style="18" hidden="1" customWidth="1"/>
    <col min="17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21</v>
      </c>
      <c r="B2" s="17">
        <v>1</v>
      </c>
      <c r="C2" s="17" t="s">
        <v>49</v>
      </c>
      <c r="D2" s="17" t="s">
        <v>27</v>
      </c>
      <c r="E2" s="17" t="s">
        <v>60</v>
      </c>
      <c r="F2" s="17" t="s">
        <v>70</v>
      </c>
      <c r="G2" s="17" t="s">
        <v>58</v>
      </c>
      <c r="H2" s="18" t="s">
        <v>25</v>
      </c>
      <c r="I2" s="19">
        <v>14.8</v>
      </c>
      <c r="J2" s="20">
        <v>0.2</v>
      </c>
      <c r="K2" s="21">
        <f>Twirling_Solo_Program2891011121314151617185253[[#This Row],[Judge 1
Tamara Beljak]]-J2</f>
        <v>14.600000000000001</v>
      </c>
      <c r="L2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Row],[Category]],Twirling_Solo_Program2891011121314151617185253[J1 TOTAL],"&gt;"&amp;Twirling_Solo_Program2891011121314151617185253[[#This Row],[J1 TOTAL]])+1</f>
        <v>1</v>
      </c>
      <c r="M2" s="19"/>
      <c r="N2" s="20"/>
      <c r="O2" s="21">
        <f>Twirling_Solo_Program2891011121314151617185253[[#This Row],[Judge 2
Tihomir Bendelja]]-Twirling_Solo_Program2891011121314151617185253[[#This Row],[J2 (-)]]</f>
        <v>0</v>
      </c>
      <c r="P2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Row],[Category]],Twirling_Solo_Program2891011121314151617185253[J2 TOTAL],"&gt;"&amp;Twirling_Solo_Program2891011121314151617185253[[#This Row],[J2 TOTAL]])+1</f>
        <v>1</v>
      </c>
      <c r="Q2" s="19">
        <v>16.899999999999999</v>
      </c>
      <c r="R2" s="20">
        <v>0.2</v>
      </c>
      <c r="S2" s="21">
        <f>Twirling_Solo_Program2891011121314151617185253[[#This Row],[Judge 3
Barbara Novina]]-R2</f>
        <v>16.7</v>
      </c>
      <c r="T2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Row],[Category]],Twirling_Solo_Program2891011121314151617185253[J3 TOTAL],"&gt;"&amp;Twirling_Solo_Program2891011121314151617185253[[#This Row],[J3 TOTAL]])+1</f>
        <v>1</v>
      </c>
      <c r="U2" s="19"/>
      <c r="V2" s="20"/>
      <c r="W2" s="21">
        <f>Twirling_Solo_Program2891011121314151617185253[[#This Row],[Judge 4
Bernard Barač]]-V2</f>
        <v>0</v>
      </c>
      <c r="X2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Row],[Category]],Twirling_Solo_Program2891011121314151617185253[J4 TOTAL],"&gt;"&amp;Twirling_Solo_Program2891011121314151617185253[[#This Row],[J4 TOTAL]])+1</f>
        <v>1</v>
      </c>
      <c r="Y2" s="23">
        <f>SUM(Twirling_Solo_Program2891011121314151617185253[[#This Row],[J1 TOTAL]]+Twirling_Solo_Program2891011121314151617185253[[#This Row],[J2 TOTAL]]+Twirling_Solo_Program2891011121314151617185253[[#This Row],[J3 TOTAL]]+Twirling_Solo_Program2891011121314151617185253[[#This Row],[J4 TOTAL]])</f>
        <v>31.3</v>
      </c>
      <c r="Z2" s="23"/>
      <c r="AA2" s="23"/>
      <c r="AB2" s="23">
        <f>SUM(Twirling_Solo_Program2891011121314151617185253[[#This Row],[Total]]-Twirling_Solo_Program2891011121314151617185253[[#This Row],[Low]]-Twirling_Solo_Program2891011121314151617185253[[#This Row],[High]])</f>
        <v>31.3</v>
      </c>
      <c r="AC2" s="23">
        <f t="shared" ref="AC2:AC7" si="0">AVERAGE(I2,M2,Q2,U2)</f>
        <v>15.85</v>
      </c>
      <c r="AD2" s="24">
        <f>Twirling_Solo_Program2891011121314151617185253[[#This Row],[Final Total]]</f>
        <v>31.3</v>
      </c>
      <c r="AE2" s="25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Row],[Category]],Twirling_Solo_Program2891011121314151617185253[FINAL SCORE],"&gt;"&amp;Twirling_Solo_Program2891011121314151617185253[[#This Row],[FINAL SCORE]])+1</f>
        <v>1</v>
      </c>
      <c r="AF2" s="16" t="s">
        <v>35</v>
      </c>
    </row>
    <row r="3" spans="1:51" x14ac:dyDescent="0.3">
      <c r="A3" s="16">
        <v>31</v>
      </c>
      <c r="B3" s="17">
        <v>1</v>
      </c>
      <c r="C3" s="17" t="s">
        <v>49</v>
      </c>
      <c r="D3" s="17" t="s">
        <v>27</v>
      </c>
      <c r="E3" s="17" t="s">
        <v>60</v>
      </c>
      <c r="F3" s="17" t="s">
        <v>76</v>
      </c>
      <c r="G3" s="17" t="s">
        <v>73</v>
      </c>
      <c r="H3" s="18" t="s">
        <v>25</v>
      </c>
      <c r="I3" s="19">
        <v>14.5</v>
      </c>
      <c r="J3" s="20">
        <v>0.1</v>
      </c>
      <c r="K3" s="21">
        <f>Twirling_Solo_Program2891011121314151617185253[[#This Row],[Judge 1
Tamara Beljak]]-J3</f>
        <v>14.4</v>
      </c>
      <c r="L3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Row],[Category]],Twirling_Solo_Program2891011121314151617185253[J1 TOTAL],"&gt;"&amp;Twirling_Solo_Program2891011121314151617185253[[#This Row],[J1 TOTAL]])+1</f>
        <v>2</v>
      </c>
      <c r="M3" s="19"/>
      <c r="N3" s="20"/>
      <c r="O3" s="21">
        <f>Twirling_Solo_Program2891011121314151617185253[[#This Row],[Judge 2
Tihomir Bendelja]]-Twirling_Solo_Program2891011121314151617185253[[#This Row],[J2 (-)]]</f>
        <v>0</v>
      </c>
      <c r="P3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Row],[Category]],Twirling_Solo_Program2891011121314151617185253[J2 TOTAL],"&gt;"&amp;Twirling_Solo_Program2891011121314151617185253[[#This Row],[J2 TOTAL]])+1</f>
        <v>1</v>
      </c>
      <c r="Q3" s="19">
        <v>13.5</v>
      </c>
      <c r="R3" s="20">
        <v>0.1</v>
      </c>
      <c r="S3" s="21">
        <f>Twirling_Solo_Program2891011121314151617185253[[#This Row],[Judge 3
Barbara Novina]]-R3</f>
        <v>13.4</v>
      </c>
      <c r="T3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Row],[Category]],Twirling_Solo_Program2891011121314151617185253[J3 TOTAL],"&gt;"&amp;Twirling_Solo_Program2891011121314151617185253[[#This Row],[J3 TOTAL]])+1</f>
        <v>2</v>
      </c>
      <c r="U3" s="19"/>
      <c r="V3" s="20"/>
      <c r="W3" s="21">
        <f>Twirling_Solo_Program2891011121314151617185253[[#This Row],[Judge 4
Bernard Barač]]-V3</f>
        <v>0</v>
      </c>
      <c r="X3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Row],[Category]],Twirling_Solo_Program2891011121314151617185253[J4 TOTAL],"&gt;"&amp;Twirling_Solo_Program2891011121314151617185253[[#This Row],[J4 TOTAL]])+1</f>
        <v>1</v>
      </c>
      <c r="Y3" s="23">
        <f>SUM(Twirling_Solo_Program2891011121314151617185253[[#This Row],[J1 TOTAL]]+Twirling_Solo_Program2891011121314151617185253[[#This Row],[J2 TOTAL]]+Twirling_Solo_Program2891011121314151617185253[[#This Row],[J3 TOTAL]]+Twirling_Solo_Program2891011121314151617185253[[#This Row],[J4 TOTAL]])</f>
        <v>27.8</v>
      </c>
      <c r="Z3" s="23"/>
      <c r="AA3" s="23"/>
      <c r="AB3" s="23">
        <f>SUM(Twirling_Solo_Program2891011121314151617185253[[#This Row],[Total]]-Twirling_Solo_Program2891011121314151617185253[[#This Row],[Low]]-Twirling_Solo_Program2891011121314151617185253[[#This Row],[High]])</f>
        <v>27.8</v>
      </c>
      <c r="AC3" s="23">
        <f t="shared" si="0"/>
        <v>14</v>
      </c>
      <c r="AD3" s="24">
        <f>Twirling_Solo_Program2891011121314151617185253[[#This Row],[Final Total]]</f>
        <v>27.8</v>
      </c>
      <c r="AE3" s="25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Row],[Category]],Twirling_Solo_Program2891011121314151617185253[FINAL SCORE],"&gt;"&amp;Twirling_Solo_Program2891011121314151617185253[[#This Row],[FINAL SCORE]])+1</f>
        <v>2</v>
      </c>
      <c r="AF3" s="16" t="s">
        <v>35</v>
      </c>
    </row>
    <row r="4" spans="1:51" x14ac:dyDescent="0.3">
      <c r="A4" s="16">
        <v>29</v>
      </c>
      <c r="B4" s="17">
        <v>1</v>
      </c>
      <c r="C4" s="17" t="s">
        <v>49</v>
      </c>
      <c r="D4" s="17" t="s">
        <v>27</v>
      </c>
      <c r="E4" s="17" t="s">
        <v>60</v>
      </c>
      <c r="F4" s="17" t="s">
        <v>75</v>
      </c>
      <c r="G4" s="17" t="s">
        <v>58</v>
      </c>
      <c r="H4" s="18" t="s">
        <v>25</v>
      </c>
      <c r="I4" s="19">
        <v>12.4</v>
      </c>
      <c r="J4" s="20">
        <v>0.3</v>
      </c>
      <c r="K4" s="21">
        <f>Twirling_Solo_Program2891011121314151617185253[[#This Row],[Judge 1
Tamara Beljak]]-J4</f>
        <v>12.1</v>
      </c>
      <c r="L4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Row],[Category]],Twirling_Solo_Program2891011121314151617185253[J1 TOTAL],"&gt;"&amp;Twirling_Solo_Program2891011121314151617185253[[#This Row],[J1 TOTAL]])+1</f>
        <v>3</v>
      </c>
      <c r="M4" s="19"/>
      <c r="N4" s="20"/>
      <c r="O4" s="21">
        <f>Twirling_Solo_Program2891011121314151617185253[[#This Row],[Judge 2
Tihomir Bendelja]]-Twirling_Solo_Program2891011121314151617185253[[#This Row],[J2 (-)]]</f>
        <v>0</v>
      </c>
      <c r="P4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Row],[Category]],Twirling_Solo_Program2891011121314151617185253[J2 TOTAL],"&gt;"&amp;Twirling_Solo_Program2891011121314151617185253[[#This Row],[J2 TOTAL]])+1</f>
        <v>1</v>
      </c>
      <c r="Q4" s="19">
        <v>11.6</v>
      </c>
      <c r="R4" s="20">
        <v>0.3</v>
      </c>
      <c r="S4" s="21">
        <f>Twirling_Solo_Program2891011121314151617185253[[#This Row],[Judge 3
Barbara Novina]]-R4</f>
        <v>11.299999999999999</v>
      </c>
      <c r="T4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Row],[Category]],Twirling_Solo_Program2891011121314151617185253[J3 TOTAL],"&gt;"&amp;Twirling_Solo_Program2891011121314151617185253[[#This Row],[J3 TOTAL]])+1</f>
        <v>3</v>
      </c>
      <c r="U4" s="19"/>
      <c r="V4" s="20"/>
      <c r="W4" s="21">
        <f>Twirling_Solo_Program2891011121314151617185253[[#This Row],[Judge 4
Bernard Barač]]-V4</f>
        <v>0</v>
      </c>
      <c r="X4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Row],[Category]],Twirling_Solo_Program2891011121314151617185253[J4 TOTAL],"&gt;"&amp;Twirling_Solo_Program2891011121314151617185253[[#This Row],[J4 TOTAL]])+1</f>
        <v>1</v>
      </c>
      <c r="Y4" s="23">
        <f>SUM(Twirling_Solo_Program2891011121314151617185253[[#This Row],[J1 TOTAL]]+Twirling_Solo_Program2891011121314151617185253[[#This Row],[J2 TOTAL]]+Twirling_Solo_Program2891011121314151617185253[[#This Row],[J3 TOTAL]]+Twirling_Solo_Program2891011121314151617185253[[#This Row],[J4 TOTAL]])</f>
        <v>23.4</v>
      </c>
      <c r="Z4" s="23"/>
      <c r="AA4" s="23"/>
      <c r="AB4" s="23">
        <f>SUM(Twirling_Solo_Program2891011121314151617185253[[#This Row],[Total]]-Twirling_Solo_Program2891011121314151617185253[[#This Row],[Low]]-Twirling_Solo_Program2891011121314151617185253[[#This Row],[High]])</f>
        <v>23.4</v>
      </c>
      <c r="AC4" s="23">
        <f t="shared" si="0"/>
        <v>12</v>
      </c>
      <c r="AD4" s="24">
        <f>Twirling_Solo_Program2891011121314151617185253[[#This Row],[Final Total]]</f>
        <v>23.4</v>
      </c>
      <c r="AE4" s="25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Row],[Category]],Twirling_Solo_Program2891011121314151617185253[FINAL SCORE],"&gt;"&amp;Twirling_Solo_Program2891011121314151617185253[[#This Row],[FINAL SCORE]])+1</f>
        <v>3</v>
      </c>
      <c r="AF4" s="16" t="s">
        <v>35</v>
      </c>
    </row>
    <row r="5" spans="1:51" x14ac:dyDescent="0.3">
      <c r="A5" s="16">
        <v>27</v>
      </c>
      <c r="B5" s="17">
        <v>1</v>
      </c>
      <c r="C5" s="17" t="s">
        <v>49</v>
      </c>
      <c r="D5" s="17" t="s">
        <v>27</v>
      </c>
      <c r="E5" s="17" t="s">
        <v>60</v>
      </c>
      <c r="F5" s="17" t="s">
        <v>74</v>
      </c>
      <c r="G5" s="17" t="s">
        <v>58</v>
      </c>
      <c r="H5" s="18" t="s">
        <v>25</v>
      </c>
      <c r="I5" s="19">
        <v>10.5</v>
      </c>
      <c r="J5" s="20">
        <v>0.3</v>
      </c>
      <c r="K5" s="21">
        <f>Twirling_Solo_Program2891011121314151617185253[[#This Row],[Judge 1
Tamara Beljak]]-J5</f>
        <v>10.199999999999999</v>
      </c>
      <c r="L5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Row],[Category]],Twirling_Solo_Program2891011121314151617185253[J1 TOTAL],"&gt;"&amp;Twirling_Solo_Program2891011121314151617185253[[#This Row],[J1 TOTAL]])+1</f>
        <v>4</v>
      </c>
      <c r="M5" s="19"/>
      <c r="N5" s="20"/>
      <c r="O5" s="21">
        <f>Twirling_Solo_Program2891011121314151617185253[[#This Row],[Judge 2
Tihomir Bendelja]]-Twirling_Solo_Program2891011121314151617185253[[#This Row],[J2 (-)]]</f>
        <v>0</v>
      </c>
      <c r="P5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Row],[Category]],Twirling_Solo_Program2891011121314151617185253[J2 TOTAL],"&gt;"&amp;Twirling_Solo_Program2891011121314151617185253[[#This Row],[J2 TOTAL]])+1</f>
        <v>1</v>
      </c>
      <c r="Q5" s="19">
        <v>8.9</v>
      </c>
      <c r="R5" s="20">
        <v>0.3</v>
      </c>
      <c r="S5" s="21">
        <f>Twirling_Solo_Program2891011121314151617185253[[#This Row],[Judge 3
Barbara Novina]]-R5</f>
        <v>8.6</v>
      </c>
      <c r="T5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Row],[Category]],Twirling_Solo_Program2891011121314151617185253[J3 TOTAL],"&gt;"&amp;Twirling_Solo_Program2891011121314151617185253[[#This Row],[J3 TOTAL]])+1</f>
        <v>4</v>
      </c>
      <c r="U5" s="19"/>
      <c r="V5" s="20"/>
      <c r="W5" s="21">
        <f>Twirling_Solo_Program2891011121314151617185253[[#This Row],[Judge 4
Bernard Barač]]-V5</f>
        <v>0</v>
      </c>
      <c r="X5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Row],[Category]],Twirling_Solo_Program2891011121314151617185253[J4 TOTAL],"&gt;"&amp;Twirling_Solo_Program2891011121314151617185253[[#This Row],[J4 TOTAL]])+1</f>
        <v>1</v>
      </c>
      <c r="Y5" s="23">
        <f>SUM(Twirling_Solo_Program2891011121314151617185253[[#This Row],[J1 TOTAL]]+Twirling_Solo_Program2891011121314151617185253[[#This Row],[J2 TOTAL]]+Twirling_Solo_Program2891011121314151617185253[[#This Row],[J3 TOTAL]]+Twirling_Solo_Program2891011121314151617185253[[#This Row],[J4 TOTAL]])</f>
        <v>18.799999999999997</v>
      </c>
      <c r="Z5" s="23"/>
      <c r="AA5" s="23"/>
      <c r="AB5" s="23">
        <f>SUM(Twirling_Solo_Program2891011121314151617185253[[#This Row],[Total]]-Twirling_Solo_Program2891011121314151617185253[[#This Row],[Low]]-Twirling_Solo_Program2891011121314151617185253[[#This Row],[High]])</f>
        <v>18.799999999999997</v>
      </c>
      <c r="AC5" s="23">
        <f t="shared" si="0"/>
        <v>9.6999999999999993</v>
      </c>
      <c r="AD5" s="24">
        <f>Twirling_Solo_Program2891011121314151617185253[[#This Row],[Final Total]]</f>
        <v>18.799999999999997</v>
      </c>
      <c r="AE5" s="25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Row],[Category]],Twirling_Solo_Program2891011121314151617185253[FINAL SCORE],"&gt;"&amp;Twirling_Solo_Program2891011121314151617185253[[#This Row],[FINAL SCORE]])+1</f>
        <v>4</v>
      </c>
      <c r="AF5" s="16" t="s">
        <v>35</v>
      </c>
    </row>
    <row r="6" spans="1:51" x14ac:dyDescent="0.3">
      <c r="A6" s="16">
        <v>25</v>
      </c>
      <c r="B6" s="17">
        <v>1</v>
      </c>
      <c r="C6" s="17" t="s">
        <v>49</v>
      </c>
      <c r="D6" s="17" t="s">
        <v>27</v>
      </c>
      <c r="E6" s="17" t="s">
        <v>60</v>
      </c>
      <c r="F6" s="17" t="s">
        <v>72</v>
      </c>
      <c r="G6" s="17" t="s">
        <v>73</v>
      </c>
      <c r="H6" s="18" t="s">
        <v>25</v>
      </c>
      <c r="I6" s="19">
        <v>10.4</v>
      </c>
      <c r="J6" s="20">
        <v>0.2</v>
      </c>
      <c r="K6" s="21">
        <f>Twirling_Solo_Program2891011121314151617185253[[#This Row],[Judge 1
Tamara Beljak]]-J6</f>
        <v>10.200000000000001</v>
      </c>
      <c r="L6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Row],[Category]],Twirling_Solo_Program2891011121314151617185253[J1 TOTAL],"&gt;"&amp;Twirling_Solo_Program2891011121314151617185253[[#This Row],[J1 TOTAL]])+1</f>
        <v>4</v>
      </c>
      <c r="M6" s="19"/>
      <c r="N6" s="20"/>
      <c r="O6" s="21">
        <f>Twirling_Solo_Program2891011121314151617185253[[#This Row],[Judge 2
Tihomir Bendelja]]-Twirling_Solo_Program2891011121314151617185253[[#This Row],[J2 (-)]]</f>
        <v>0</v>
      </c>
      <c r="P6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Row],[Category]],Twirling_Solo_Program2891011121314151617185253[J2 TOTAL],"&gt;"&amp;Twirling_Solo_Program2891011121314151617185253[[#This Row],[J2 TOTAL]])+1</f>
        <v>1</v>
      </c>
      <c r="Q6" s="19">
        <v>8.6999999999999993</v>
      </c>
      <c r="R6" s="20">
        <v>0.2</v>
      </c>
      <c r="S6" s="21">
        <f>Twirling_Solo_Program2891011121314151617185253[[#This Row],[Judge 3
Barbara Novina]]-R6</f>
        <v>8.5</v>
      </c>
      <c r="T6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Row],[Category]],Twirling_Solo_Program2891011121314151617185253[J3 TOTAL],"&gt;"&amp;Twirling_Solo_Program2891011121314151617185253[[#This Row],[J3 TOTAL]])+1</f>
        <v>5</v>
      </c>
      <c r="U6" s="19"/>
      <c r="V6" s="20"/>
      <c r="W6" s="21">
        <f>Twirling_Solo_Program2891011121314151617185253[[#This Row],[Judge 4
Bernard Barač]]-V6</f>
        <v>0</v>
      </c>
      <c r="X6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Row],[Category]],Twirling_Solo_Program2891011121314151617185253[J4 TOTAL],"&gt;"&amp;Twirling_Solo_Program2891011121314151617185253[[#This Row],[J4 TOTAL]])+1</f>
        <v>1</v>
      </c>
      <c r="Y6" s="23">
        <f>SUM(Twirling_Solo_Program2891011121314151617185253[[#This Row],[J1 TOTAL]]+Twirling_Solo_Program2891011121314151617185253[[#This Row],[J2 TOTAL]]+Twirling_Solo_Program2891011121314151617185253[[#This Row],[J3 TOTAL]]+Twirling_Solo_Program2891011121314151617185253[[#This Row],[J4 TOTAL]])</f>
        <v>18.700000000000003</v>
      </c>
      <c r="Z6" s="23"/>
      <c r="AA6" s="23"/>
      <c r="AB6" s="23">
        <f>SUM(Twirling_Solo_Program2891011121314151617185253[[#This Row],[Total]]-Twirling_Solo_Program2891011121314151617185253[[#This Row],[Low]]-Twirling_Solo_Program2891011121314151617185253[[#This Row],[High]])</f>
        <v>18.700000000000003</v>
      </c>
      <c r="AC6" s="23">
        <f t="shared" si="0"/>
        <v>9.5500000000000007</v>
      </c>
      <c r="AD6" s="24">
        <f>Twirling_Solo_Program2891011121314151617185253[[#This Row],[Final Total]]</f>
        <v>18.700000000000003</v>
      </c>
      <c r="AE6" s="25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Row],[Category]],Twirling_Solo_Program2891011121314151617185253[FINAL SCORE],"&gt;"&amp;Twirling_Solo_Program2891011121314151617185253[[#This Row],[FINAL SCORE]])+1</f>
        <v>5</v>
      </c>
      <c r="AF6" s="16" t="s">
        <v>35</v>
      </c>
    </row>
    <row r="7" spans="1:51" x14ac:dyDescent="0.3">
      <c r="A7" s="16">
        <v>23</v>
      </c>
      <c r="B7" s="17">
        <v>1</v>
      </c>
      <c r="C7" s="17" t="s">
        <v>49</v>
      </c>
      <c r="D7" s="17" t="s">
        <v>27</v>
      </c>
      <c r="E7" s="17" t="s">
        <v>60</v>
      </c>
      <c r="F7" s="17" t="s">
        <v>71</v>
      </c>
      <c r="G7" s="17" t="s">
        <v>24</v>
      </c>
      <c r="H7" s="18" t="s">
        <v>25</v>
      </c>
      <c r="I7" s="19">
        <v>7.6</v>
      </c>
      <c r="J7" s="20">
        <v>0.4</v>
      </c>
      <c r="K7" s="21">
        <f>Twirling_Solo_Program2891011121314151617185253[[#This Row],[Judge 1
Tamara Beljak]]-J7</f>
        <v>7.1999999999999993</v>
      </c>
      <c r="L7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Row],[Category]],Twirling_Solo_Program2891011121314151617185253[J1 TOTAL],"&gt;"&amp;Twirling_Solo_Program2891011121314151617185253[[#This Row],[J1 TOTAL]])+1</f>
        <v>6</v>
      </c>
      <c r="M7" s="19"/>
      <c r="N7" s="20"/>
      <c r="O7" s="21">
        <f>Twirling_Solo_Program2891011121314151617185253[[#This Row],[Judge 2
Tihomir Bendelja]]-Twirling_Solo_Program2891011121314151617185253[[#This Row],[J2 (-)]]</f>
        <v>0</v>
      </c>
      <c r="P7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Row],[Category]],Twirling_Solo_Program2891011121314151617185253[J2 TOTAL],"&gt;"&amp;Twirling_Solo_Program2891011121314151617185253[[#This Row],[J2 TOTAL]])+1</f>
        <v>1</v>
      </c>
      <c r="Q7" s="19">
        <v>6.9</v>
      </c>
      <c r="R7" s="20">
        <v>0.4</v>
      </c>
      <c r="S7" s="21">
        <f>Twirling_Solo_Program2891011121314151617185253[[#This Row],[Judge 3
Barbara Novina]]-R7</f>
        <v>6.5</v>
      </c>
      <c r="T7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Row],[Category]],Twirling_Solo_Program2891011121314151617185253[J3 TOTAL],"&gt;"&amp;Twirling_Solo_Program2891011121314151617185253[[#This Row],[J3 TOTAL]])+1</f>
        <v>6</v>
      </c>
      <c r="U7" s="19"/>
      <c r="V7" s="20"/>
      <c r="W7" s="21">
        <f>Twirling_Solo_Program2891011121314151617185253[[#This Row],[Judge 4
Bernard Barač]]-V7</f>
        <v>0</v>
      </c>
      <c r="X7" s="22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Row],[Category]],Twirling_Solo_Program2891011121314151617185253[J4 TOTAL],"&gt;"&amp;Twirling_Solo_Program2891011121314151617185253[[#This Row],[J4 TOTAL]])+1</f>
        <v>1</v>
      </c>
      <c r="Y7" s="23">
        <f>SUM(Twirling_Solo_Program2891011121314151617185253[[#This Row],[J1 TOTAL]]+Twirling_Solo_Program2891011121314151617185253[[#This Row],[J2 TOTAL]]+Twirling_Solo_Program2891011121314151617185253[[#This Row],[J3 TOTAL]]+Twirling_Solo_Program2891011121314151617185253[[#This Row],[J4 TOTAL]])</f>
        <v>13.7</v>
      </c>
      <c r="Z7" s="23"/>
      <c r="AA7" s="23"/>
      <c r="AB7" s="23">
        <f>SUM(Twirling_Solo_Program2891011121314151617185253[[#This Row],[Total]]-Twirling_Solo_Program2891011121314151617185253[[#This Row],[Low]]-Twirling_Solo_Program2891011121314151617185253[[#This Row],[High]])</f>
        <v>13.7</v>
      </c>
      <c r="AC7" s="23">
        <f t="shared" si="0"/>
        <v>7.25</v>
      </c>
      <c r="AD7" s="24">
        <f>Twirling_Solo_Program2891011121314151617185253[[#This Row],[Final Total]]</f>
        <v>13.7</v>
      </c>
      <c r="AE7" s="25">
        <f>COUNTIFS(Twirling_Solo_Program2891011121314151617185253[Age
Division],Twirling_Solo_Program2891011121314151617185253[[#This Row],[Age
Division]],Twirling_Solo_Program2891011121314151617185253[Category],Twirling_Solo_Program2891011121314151617185253[[#This Row],[Category]],Twirling_Solo_Program2891011121314151617185253[FINAL SCORE],"&gt;"&amp;Twirling_Solo_Program2891011121314151617185253[[#This Row],[FINAL SCORE]])+1</f>
        <v>6</v>
      </c>
      <c r="AF7" s="16" t="s">
        <v>35</v>
      </c>
    </row>
  </sheetData>
  <sheetProtection algorithmName="SHA-512" hashValue="BBzyq4DrTPShfbH8eov3EURo0EEAL8zJ2VT9JI3raYBtYliCwtI0ANSbC/mIDQzWW3GL0GPiW82SROcBIwtklg==" saltValue="Xo1z36abQ7tNe6ZplzhHZ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Y5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5703125" style="27" customWidth="1"/>
    <col min="4" max="4" width="9.28515625" style="28" customWidth="1"/>
    <col min="5" max="5" width="11.85546875" style="28" customWidth="1"/>
    <col min="6" max="6" width="25.140625" style="18" customWidth="1"/>
    <col min="7" max="7" width="43.5703125" style="18" customWidth="1"/>
    <col min="8" max="8" width="9.7109375" style="18" customWidth="1"/>
    <col min="9" max="12" width="9.140625" style="18" customWidth="1"/>
    <col min="13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127</v>
      </c>
      <c r="B2" s="17">
        <v>1</v>
      </c>
      <c r="C2" s="17" t="s">
        <v>163</v>
      </c>
      <c r="D2" s="17" t="s">
        <v>27</v>
      </c>
      <c r="E2" s="17" t="s">
        <v>95</v>
      </c>
      <c r="F2" s="17" t="s">
        <v>182</v>
      </c>
      <c r="G2" s="17" t="s">
        <v>58</v>
      </c>
      <c r="H2" s="18" t="s">
        <v>25</v>
      </c>
      <c r="I2" s="19">
        <v>91.4</v>
      </c>
      <c r="J2" s="20">
        <v>2</v>
      </c>
      <c r="K2" s="21">
        <f>Twirling_Solo_Program289101112131415161718525354555657586061636567686972737475767778[[#This Row],[Judge 1
Tamara Beljak]]-J2</f>
        <v>89.4</v>
      </c>
      <c r="L2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Row],[Category]],Twirling_Solo_Program289101112131415161718525354555657586061636567686972737475767778[J1 TOTAL],"&gt;"&amp;Twirling_Solo_Program289101112131415161718525354555657586061636567686972737475767778[[#This Row],[J1 TOTAL]])+1</f>
        <v>1</v>
      </c>
      <c r="M2" s="19"/>
      <c r="N2" s="20"/>
      <c r="O2" s="21">
        <f>Twirling_Solo_Program289101112131415161718525354555657586061636567686972737475767778[[#This Row],[Judge 2
Tihomir Bendelja]]-Twirling_Solo_Program289101112131415161718525354555657586061636567686972737475767778[[#This Row],[J2 (-)]]</f>
        <v>0</v>
      </c>
      <c r="P2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Row],[Category]],Twirling_Solo_Program289101112131415161718525354555657586061636567686972737475767778[J2 TOTAL],"&gt;"&amp;Twirling_Solo_Program289101112131415161718525354555657586061636567686972737475767778[[#This Row],[J2 TOTAL]])+1</f>
        <v>1</v>
      </c>
      <c r="Q2" s="19"/>
      <c r="R2" s="20"/>
      <c r="S2" s="21">
        <f>Twirling_Solo_Program289101112131415161718525354555657586061636567686972737475767778[[#This Row],[Judge 3
Barbara Novina]]-R2</f>
        <v>0</v>
      </c>
      <c r="T2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Row],[Category]],Twirling_Solo_Program289101112131415161718525354555657586061636567686972737475767778[J3 TOTAL],"&gt;"&amp;Twirling_Solo_Program289101112131415161718525354555657586061636567686972737475767778[[#This Row],[J3 TOTAL]])+1</f>
        <v>1</v>
      </c>
      <c r="U2" s="19">
        <v>91.2</v>
      </c>
      <c r="V2" s="20">
        <v>2</v>
      </c>
      <c r="W2" s="21">
        <f>Twirling_Solo_Program289101112131415161718525354555657586061636567686972737475767778[[#This Row],[Judge 4
Bernard Barač]]-V2</f>
        <v>89.2</v>
      </c>
      <c r="X2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Row],[Category]],Twirling_Solo_Program289101112131415161718525354555657586061636567686972737475767778[J4 TOTAL],"&gt;"&amp;Twirling_Solo_Program289101112131415161718525354555657586061636567686972737475767778[[#This Row],[J4 TOTAL]])+1</f>
        <v>1</v>
      </c>
      <c r="Y2" s="23">
        <f>SUM(Twirling_Solo_Program289101112131415161718525354555657586061636567686972737475767778[[#This Row],[J1 TOTAL]]+Twirling_Solo_Program289101112131415161718525354555657586061636567686972737475767778[[#This Row],[J2 TOTAL]]+Twirling_Solo_Program289101112131415161718525354555657586061636567686972737475767778[[#This Row],[J3 TOTAL]]+Twirling_Solo_Program289101112131415161718525354555657586061636567686972737475767778[[#This Row],[J4 TOTAL]])</f>
        <v>178.60000000000002</v>
      </c>
      <c r="Z2" s="23"/>
      <c r="AA2" s="23"/>
      <c r="AB2" s="23">
        <f>SUM(Twirling_Solo_Program289101112131415161718525354555657586061636567686972737475767778[[#This Row],[Total]]-Twirling_Solo_Program289101112131415161718525354555657586061636567686972737475767778[[#This Row],[Low]]-Twirling_Solo_Program289101112131415161718525354555657586061636567686972737475767778[[#This Row],[High]])</f>
        <v>178.60000000000002</v>
      </c>
      <c r="AC2" s="23">
        <f>AVERAGE(I2,M2,Q2,U2)</f>
        <v>91.300000000000011</v>
      </c>
      <c r="AD2" s="24">
        <f>Twirling_Solo_Program289101112131415161718525354555657586061636567686972737475767778[[#This Row],[Final Total]]</f>
        <v>178.60000000000002</v>
      </c>
      <c r="AE2" s="25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Row],[Category]],Twirling_Solo_Program289101112131415161718525354555657586061636567686972737475767778[FINAL SCORE],"&gt;"&amp;Twirling_Solo_Program289101112131415161718525354555657586061636567686972737475767778[[#This Row],[FINAL SCORE]])+1</f>
        <v>1</v>
      </c>
      <c r="AF2" s="16" t="s">
        <v>34</v>
      </c>
    </row>
    <row r="3" spans="1:51" x14ac:dyDescent="0.3">
      <c r="A3" s="16">
        <v>125</v>
      </c>
      <c r="B3" s="17">
        <v>1</v>
      </c>
      <c r="C3" s="17" t="s">
        <v>163</v>
      </c>
      <c r="D3" s="17" t="s">
        <v>27</v>
      </c>
      <c r="E3" s="17" t="s">
        <v>95</v>
      </c>
      <c r="F3" s="17" t="s">
        <v>181</v>
      </c>
      <c r="G3" s="17" t="s">
        <v>56</v>
      </c>
      <c r="H3" s="18" t="s">
        <v>25</v>
      </c>
      <c r="I3" s="19">
        <v>86.3</v>
      </c>
      <c r="J3" s="20">
        <v>2</v>
      </c>
      <c r="K3" s="21">
        <f>Twirling_Solo_Program289101112131415161718525354555657586061636567686972737475767778[[#This Row],[Judge 1
Tamara Beljak]]-J3</f>
        <v>84.3</v>
      </c>
      <c r="L3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Row],[Category]],Twirling_Solo_Program289101112131415161718525354555657586061636567686972737475767778[J1 TOTAL],"&gt;"&amp;Twirling_Solo_Program289101112131415161718525354555657586061636567686972737475767778[[#This Row],[J1 TOTAL]])+1</f>
        <v>2</v>
      </c>
      <c r="M3" s="19"/>
      <c r="N3" s="20"/>
      <c r="O3" s="21">
        <f>Twirling_Solo_Program289101112131415161718525354555657586061636567686972737475767778[[#This Row],[Judge 2
Tihomir Bendelja]]-Twirling_Solo_Program289101112131415161718525354555657586061636567686972737475767778[[#This Row],[J2 (-)]]</f>
        <v>0</v>
      </c>
      <c r="P3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Row],[Category]],Twirling_Solo_Program289101112131415161718525354555657586061636567686972737475767778[J2 TOTAL],"&gt;"&amp;Twirling_Solo_Program289101112131415161718525354555657586061636567686972737475767778[[#This Row],[J2 TOTAL]])+1</f>
        <v>1</v>
      </c>
      <c r="Q3" s="19"/>
      <c r="R3" s="20"/>
      <c r="S3" s="21">
        <f>Twirling_Solo_Program289101112131415161718525354555657586061636567686972737475767778[[#This Row],[Judge 3
Barbara Novina]]-R3</f>
        <v>0</v>
      </c>
      <c r="T3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Row],[Category]],Twirling_Solo_Program289101112131415161718525354555657586061636567686972737475767778[J3 TOTAL],"&gt;"&amp;Twirling_Solo_Program289101112131415161718525354555657586061636567686972737475767778[[#This Row],[J3 TOTAL]])+1</f>
        <v>1</v>
      </c>
      <c r="U3" s="19">
        <v>85.1</v>
      </c>
      <c r="V3" s="20">
        <v>2</v>
      </c>
      <c r="W3" s="21">
        <f>Twirling_Solo_Program289101112131415161718525354555657586061636567686972737475767778[[#This Row],[Judge 4
Bernard Barač]]-V3</f>
        <v>83.1</v>
      </c>
      <c r="X3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Row],[Category]],Twirling_Solo_Program289101112131415161718525354555657586061636567686972737475767778[J4 TOTAL],"&gt;"&amp;Twirling_Solo_Program289101112131415161718525354555657586061636567686972737475767778[[#This Row],[J4 TOTAL]])+1</f>
        <v>2</v>
      </c>
      <c r="Y3" s="23">
        <f>SUM(Twirling_Solo_Program289101112131415161718525354555657586061636567686972737475767778[[#This Row],[J1 TOTAL]]+Twirling_Solo_Program289101112131415161718525354555657586061636567686972737475767778[[#This Row],[J2 TOTAL]]+Twirling_Solo_Program289101112131415161718525354555657586061636567686972737475767778[[#This Row],[J3 TOTAL]]+Twirling_Solo_Program289101112131415161718525354555657586061636567686972737475767778[[#This Row],[J4 TOTAL]])</f>
        <v>167.39999999999998</v>
      </c>
      <c r="Z3" s="23"/>
      <c r="AA3" s="23"/>
      <c r="AB3" s="23">
        <f>SUM(Twirling_Solo_Program289101112131415161718525354555657586061636567686972737475767778[[#This Row],[Total]]-Twirling_Solo_Program289101112131415161718525354555657586061636567686972737475767778[[#This Row],[Low]]-Twirling_Solo_Program289101112131415161718525354555657586061636567686972737475767778[[#This Row],[High]])</f>
        <v>167.39999999999998</v>
      </c>
      <c r="AC3" s="23">
        <f>AVERAGE(I3,M3,Q3,U3)</f>
        <v>85.699999999999989</v>
      </c>
      <c r="AD3" s="24">
        <f>Twirling_Solo_Program289101112131415161718525354555657586061636567686972737475767778[[#This Row],[Final Total]]</f>
        <v>167.39999999999998</v>
      </c>
      <c r="AE3" s="25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Row],[Category]],Twirling_Solo_Program289101112131415161718525354555657586061636567686972737475767778[FINAL SCORE],"&gt;"&amp;Twirling_Solo_Program289101112131415161718525354555657586061636567686972737475767778[[#This Row],[FINAL SCORE]])+1</f>
        <v>2</v>
      </c>
      <c r="AF3" s="16" t="s">
        <v>34</v>
      </c>
    </row>
    <row r="4" spans="1:51" x14ac:dyDescent="0.3">
      <c r="A4" s="16">
        <v>123</v>
      </c>
      <c r="B4" s="17">
        <v>1</v>
      </c>
      <c r="C4" s="17" t="s">
        <v>163</v>
      </c>
      <c r="D4" s="17" t="s">
        <v>27</v>
      </c>
      <c r="E4" s="17" t="s">
        <v>95</v>
      </c>
      <c r="F4" s="17" t="s">
        <v>180</v>
      </c>
      <c r="G4" s="17" t="s">
        <v>79</v>
      </c>
      <c r="H4" s="18" t="s">
        <v>25</v>
      </c>
      <c r="I4" s="19">
        <v>84.9</v>
      </c>
      <c r="J4" s="20">
        <v>1.5</v>
      </c>
      <c r="K4" s="21">
        <f>Twirling_Solo_Program289101112131415161718525354555657586061636567686972737475767778[[#This Row],[Judge 1
Tamara Beljak]]-J4</f>
        <v>83.4</v>
      </c>
      <c r="L4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Row],[Category]],Twirling_Solo_Program289101112131415161718525354555657586061636567686972737475767778[J1 TOTAL],"&gt;"&amp;Twirling_Solo_Program289101112131415161718525354555657586061636567686972737475767778[[#This Row],[J1 TOTAL]])+1</f>
        <v>3</v>
      </c>
      <c r="M4" s="19"/>
      <c r="N4" s="20"/>
      <c r="O4" s="21">
        <f>Twirling_Solo_Program289101112131415161718525354555657586061636567686972737475767778[[#This Row],[Judge 2
Tihomir Bendelja]]-Twirling_Solo_Program289101112131415161718525354555657586061636567686972737475767778[[#This Row],[J2 (-)]]</f>
        <v>0</v>
      </c>
      <c r="P4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Row],[Category]],Twirling_Solo_Program289101112131415161718525354555657586061636567686972737475767778[J2 TOTAL],"&gt;"&amp;Twirling_Solo_Program289101112131415161718525354555657586061636567686972737475767778[[#This Row],[J2 TOTAL]])+1</f>
        <v>1</v>
      </c>
      <c r="Q4" s="19"/>
      <c r="R4" s="20"/>
      <c r="S4" s="21">
        <f>Twirling_Solo_Program289101112131415161718525354555657586061636567686972737475767778[[#This Row],[Judge 3
Barbara Novina]]-R4</f>
        <v>0</v>
      </c>
      <c r="T4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Row],[Category]],Twirling_Solo_Program289101112131415161718525354555657586061636567686972737475767778[J3 TOTAL],"&gt;"&amp;Twirling_Solo_Program289101112131415161718525354555657586061636567686972737475767778[[#This Row],[J3 TOTAL]])+1</f>
        <v>1</v>
      </c>
      <c r="U4" s="19">
        <v>84.5</v>
      </c>
      <c r="V4" s="20">
        <v>1.5</v>
      </c>
      <c r="W4" s="21">
        <f>Twirling_Solo_Program289101112131415161718525354555657586061636567686972737475767778[[#This Row],[Judge 4
Bernard Barač]]-V4</f>
        <v>83</v>
      </c>
      <c r="X4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Row],[Category]],Twirling_Solo_Program289101112131415161718525354555657586061636567686972737475767778[J4 TOTAL],"&gt;"&amp;Twirling_Solo_Program289101112131415161718525354555657586061636567686972737475767778[[#This Row],[J4 TOTAL]])+1</f>
        <v>3</v>
      </c>
      <c r="Y4" s="23">
        <f>SUM(Twirling_Solo_Program289101112131415161718525354555657586061636567686972737475767778[[#This Row],[J1 TOTAL]]+Twirling_Solo_Program289101112131415161718525354555657586061636567686972737475767778[[#This Row],[J2 TOTAL]]+Twirling_Solo_Program289101112131415161718525354555657586061636567686972737475767778[[#This Row],[J3 TOTAL]]+Twirling_Solo_Program289101112131415161718525354555657586061636567686972737475767778[[#This Row],[J4 TOTAL]])</f>
        <v>166.4</v>
      </c>
      <c r="Z4" s="23"/>
      <c r="AA4" s="23"/>
      <c r="AB4" s="23">
        <f>SUM(Twirling_Solo_Program289101112131415161718525354555657586061636567686972737475767778[[#This Row],[Total]]-Twirling_Solo_Program289101112131415161718525354555657586061636567686972737475767778[[#This Row],[Low]]-Twirling_Solo_Program289101112131415161718525354555657586061636567686972737475767778[[#This Row],[High]])</f>
        <v>166.4</v>
      </c>
      <c r="AC4" s="23">
        <f>AVERAGE(I4,M4,Q4,U4)</f>
        <v>84.7</v>
      </c>
      <c r="AD4" s="24">
        <f>Twirling_Solo_Program289101112131415161718525354555657586061636567686972737475767778[[#This Row],[Final Total]]</f>
        <v>166.4</v>
      </c>
      <c r="AE4" s="25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Row],[Category]],Twirling_Solo_Program289101112131415161718525354555657586061636567686972737475767778[FINAL SCORE],"&gt;"&amp;Twirling_Solo_Program289101112131415161718525354555657586061636567686972737475767778[[#This Row],[FINAL SCORE]])+1</f>
        <v>3</v>
      </c>
      <c r="AF4" s="16" t="s">
        <v>34</v>
      </c>
    </row>
    <row r="5" spans="1:51" x14ac:dyDescent="0.3">
      <c r="A5" s="16">
        <v>129</v>
      </c>
      <c r="B5" s="17">
        <v>1</v>
      </c>
      <c r="C5" s="17" t="s">
        <v>163</v>
      </c>
      <c r="D5" s="17" t="s">
        <v>27</v>
      </c>
      <c r="E5" s="17" t="s">
        <v>95</v>
      </c>
      <c r="F5" s="17" t="s">
        <v>183</v>
      </c>
      <c r="G5" s="17" t="s">
        <v>159</v>
      </c>
      <c r="H5" s="18" t="s">
        <v>28</v>
      </c>
      <c r="I5" s="19">
        <v>80.900000000000006</v>
      </c>
      <c r="J5" s="20">
        <v>2</v>
      </c>
      <c r="K5" s="21">
        <f>Twirling_Solo_Program289101112131415161718525354555657586061636567686972737475767778[[#This Row],[Judge 1
Tamara Beljak]]-J5</f>
        <v>78.900000000000006</v>
      </c>
      <c r="L5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Row],[Category]],Twirling_Solo_Program289101112131415161718525354555657586061636567686972737475767778[J1 TOTAL],"&gt;"&amp;Twirling_Solo_Program289101112131415161718525354555657586061636567686972737475767778[[#This Row],[J1 TOTAL]])+1</f>
        <v>4</v>
      </c>
      <c r="M5" s="19"/>
      <c r="N5" s="20"/>
      <c r="O5" s="21">
        <f>Twirling_Solo_Program289101112131415161718525354555657586061636567686972737475767778[[#This Row],[Judge 2
Tihomir Bendelja]]-Twirling_Solo_Program289101112131415161718525354555657586061636567686972737475767778[[#This Row],[J2 (-)]]</f>
        <v>0</v>
      </c>
      <c r="P5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Row],[Category]],Twirling_Solo_Program289101112131415161718525354555657586061636567686972737475767778[J2 TOTAL],"&gt;"&amp;Twirling_Solo_Program289101112131415161718525354555657586061636567686972737475767778[[#This Row],[J2 TOTAL]])+1</f>
        <v>1</v>
      </c>
      <c r="Q5" s="19"/>
      <c r="R5" s="20"/>
      <c r="S5" s="21">
        <f>Twirling_Solo_Program289101112131415161718525354555657586061636567686972737475767778[[#This Row],[Judge 3
Barbara Novina]]-R5</f>
        <v>0</v>
      </c>
      <c r="T5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Row],[Category]],Twirling_Solo_Program289101112131415161718525354555657586061636567686972737475767778[J3 TOTAL],"&gt;"&amp;Twirling_Solo_Program289101112131415161718525354555657586061636567686972737475767778[[#This Row],[J3 TOTAL]])+1</f>
        <v>1</v>
      </c>
      <c r="U5" s="19">
        <v>84.2</v>
      </c>
      <c r="V5" s="20">
        <v>2</v>
      </c>
      <c r="W5" s="21">
        <f>Twirling_Solo_Program289101112131415161718525354555657586061636567686972737475767778[[#This Row],[Judge 4
Bernard Barač]]-V5</f>
        <v>82.2</v>
      </c>
      <c r="X5" s="22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Row],[Category]],Twirling_Solo_Program289101112131415161718525354555657586061636567686972737475767778[J4 TOTAL],"&gt;"&amp;Twirling_Solo_Program289101112131415161718525354555657586061636567686972737475767778[[#This Row],[J4 TOTAL]])+1</f>
        <v>4</v>
      </c>
      <c r="Y5" s="23">
        <f>SUM(Twirling_Solo_Program289101112131415161718525354555657586061636567686972737475767778[[#This Row],[J1 TOTAL]]+Twirling_Solo_Program289101112131415161718525354555657586061636567686972737475767778[[#This Row],[J2 TOTAL]]+Twirling_Solo_Program289101112131415161718525354555657586061636567686972737475767778[[#This Row],[J3 TOTAL]]+Twirling_Solo_Program289101112131415161718525354555657586061636567686972737475767778[[#This Row],[J4 TOTAL]])</f>
        <v>161.10000000000002</v>
      </c>
      <c r="Z5" s="23"/>
      <c r="AA5" s="23"/>
      <c r="AB5" s="23">
        <f>SUM(Twirling_Solo_Program289101112131415161718525354555657586061636567686972737475767778[[#This Row],[Total]]-Twirling_Solo_Program289101112131415161718525354555657586061636567686972737475767778[[#This Row],[Low]]-Twirling_Solo_Program289101112131415161718525354555657586061636567686972737475767778[[#This Row],[High]])</f>
        <v>161.10000000000002</v>
      </c>
      <c r="AC5" s="23">
        <f>AVERAGE(I5,M5,Q5,U5)</f>
        <v>82.550000000000011</v>
      </c>
      <c r="AD5" s="24">
        <f>Twirling_Solo_Program289101112131415161718525354555657586061636567686972737475767778[[#This Row],[Final Total]]</f>
        <v>161.10000000000002</v>
      </c>
      <c r="AE5" s="25">
        <f>COUNTIFS(Twirling_Solo_Program289101112131415161718525354555657586061636567686972737475767778[Age
Division],Twirling_Solo_Program289101112131415161718525354555657586061636567686972737475767778[[#This Row],[Age
Division]],Twirling_Solo_Program289101112131415161718525354555657586061636567686972737475767778[Category],Twirling_Solo_Program289101112131415161718525354555657586061636567686972737475767778[[#This Row],[Category]],Twirling_Solo_Program289101112131415161718525354555657586061636567686972737475767778[FINAL SCORE],"&gt;"&amp;Twirling_Solo_Program289101112131415161718525354555657586061636567686972737475767778[[#This Row],[FINAL SCORE]])+1</f>
        <v>4</v>
      </c>
      <c r="AF5" s="16" t="s">
        <v>34</v>
      </c>
    </row>
  </sheetData>
  <sheetProtection algorithmName="SHA-512" hashValue="UlvIUuaw5YyjiK1bSBqXS3jES3ytdYreWNquKJ8jH9ssytfcKgG8CIk5KkQ1GdxUZcO7RXBklKqqhRNq3CAxUQ==" saltValue="Uc5JmZwzMXp1vCRhNBH83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Y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5703125" style="27" customWidth="1"/>
    <col min="4" max="4" width="10.5703125" style="28" customWidth="1"/>
    <col min="5" max="5" width="12.5703125" style="28" customWidth="1"/>
    <col min="6" max="6" width="27.85546875" style="18" customWidth="1"/>
    <col min="7" max="7" width="41.7109375" style="18" customWidth="1"/>
    <col min="8" max="8" width="10.140625" style="18" customWidth="1"/>
    <col min="9" max="12" width="9.140625" style="18" hidden="1" customWidth="1"/>
    <col min="13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144</v>
      </c>
      <c r="B2" s="17">
        <v>2</v>
      </c>
      <c r="C2" s="17" t="s">
        <v>163</v>
      </c>
      <c r="D2" s="17" t="s">
        <v>29</v>
      </c>
      <c r="E2" s="17" t="s">
        <v>94</v>
      </c>
      <c r="F2" s="17" t="s">
        <v>186</v>
      </c>
      <c r="G2" s="17" t="s">
        <v>88</v>
      </c>
      <c r="H2" s="18" t="s">
        <v>28</v>
      </c>
      <c r="I2" s="19"/>
      <c r="J2" s="20"/>
      <c r="K2" s="21">
        <f>Twirling_Solo_Program28910111213141516171852535455565758606163656768697273747576777879[[#This Row],[Judge 1
Tamara Beljak]]-J2</f>
        <v>0</v>
      </c>
      <c r="L2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Row],[Category]],Twirling_Solo_Program28910111213141516171852535455565758606163656768697273747576777879[J1 TOTAL],"&gt;"&amp;Twirling_Solo_Program28910111213141516171852535455565758606163656768697273747576777879[[#This Row],[J1 TOTAL]])+1</f>
        <v>1</v>
      </c>
      <c r="M2" s="19">
        <v>63.2</v>
      </c>
      <c r="N2" s="20">
        <v>3</v>
      </c>
      <c r="O2" s="21">
        <f>Twirling_Solo_Program28910111213141516171852535455565758606163656768697273747576777879[[#This Row],[Judge 2
Tihomir Bendelja]]-Twirling_Solo_Program28910111213141516171852535455565758606163656768697273747576777879[[#This Row],[J2 (-)]]</f>
        <v>60.2</v>
      </c>
      <c r="P2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Row],[Category]],Twirling_Solo_Program28910111213141516171852535455565758606163656768697273747576777879[J2 TOTAL],"&gt;"&amp;Twirling_Solo_Program28910111213141516171852535455565758606163656768697273747576777879[[#This Row],[J2 TOTAL]])+1</f>
        <v>1</v>
      </c>
      <c r="Q2" s="19">
        <v>64.599999999999994</v>
      </c>
      <c r="R2" s="20">
        <v>3</v>
      </c>
      <c r="S2" s="21">
        <f>Twirling_Solo_Program28910111213141516171852535455565758606163656768697273747576777879[[#This Row],[Judge 3
Barbara Novina]]-R2</f>
        <v>61.599999999999994</v>
      </c>
      <c r="T2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Row],[Category]],Twirling_Solo_Program28910111213141516171852535455565758606163656768697273747576777879[J3 TOTAL],"&gt;"&amp;Twirling_Solo_Program28910111213141516171852535455565758606163656768697273747576777879[[#This Row],[J3 TOTAL]])+1</f>
        <v>1</v>
      </c>
      <c r="U2" s="19"/>
      <c r="V2" s="20"/>
      <c r="W2" s="21">
        <f>Twirling_Solo_Program28910111213141516171852535455565758606163656768697273747576777879[[#This Row],[Judge 4
Bernard Barač]]-V2</f>
        <v>0</v>
      </c>
      <c r="X2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Row],[Category]],Twirling_Solo_Program28910111213141516171852535455565758606163656768697273747576777879[J4 TOTAL],"&gt;"&amp;Twirling_Solo_Program28910111213141516171852535455565758606163656768697273747576777879[[#This Row],[J4 TOTAL]])+1</f>
        <v>1</v>
      </c>
      <c r="Y2" s="23">
        <f>SUM(Twirling_Solo_Program28910111213141516171852535455565758606163656768697273747576777879[[#This Row],[J1 TOTAL]]+Twirling_Solo_Program28910111213141516171852535455565758606163656768697273747576777879[[#This Row],[J2 TOTAL]]+Twirling_Solo_Program28910111213141516171852535455565758606163656768697273747576777879[[#This Row],[J3 TOTAL]]+Twirling_Solo_Program28910111213141516171852535455565758606163656768697273747576777879[[#This Row],[J4 TOTAL]])</f>
        <v>121.8</v>
      </c>
      <c r="Z2" s="23"/>
      <c r="AA2" s="23"/>
      <c r="AB2" s="23">
        <f>SUM(Twirling_Solo_Program28910111213141516171852535455565758606163656768697273747576777879[[#This Row],[Total]]-Twirling_Solo_Program28910111213141516171852535455565758606163656768697273747576777879[[#This Row],[Low]]-Twirling_Solo_Program28910111213141516171852535455565758606163656768697273747576777879[[#This Row],[High]])</f>
        <v>121.8</v>
      </c>
      <c r="AC2" s="23">
        <f t="shared" ref="AC2:AC7" si="0">AVERAGE(I2,M2,Q2,U2)</f>
        <v>63.9</v>
      </c>
      <c r="AD2" s="24">
        <f>Twirling_Solo_Program28910111213141516171852535455565758606163656768697273747576777879[[#This Row],[Final Total]]</f>
        <v>121.8</v>
      </c>
      <c r="AE2" s="25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Row],[Category]],Twirling_Solo_Program28910111213141516171852535455565758606163656768697273747576777879[FINAL SCORE],"&gt;"&amp;Twirling_Solo_Program28910111213141516171852535455565758606163656768697273747576777879[[#This Row],[FINAL SCORE]])+1</f>
        <v>1</v>
      </c>
      <c r="AF2" s="16" t="s">
        <v>34</v>
      </c>
    </row>
    <row r="3" spans="1:51" x14ac:dyDescent="0.3">
      <c r="A3" s="16">
        <v>146</v>
      </c>
      <c r="B3" s="17">
        <v>2</v>
      </c>
      <c r="C3" s="17" t="s">
        <v>163</v>
      </c>
      <c r="D3" s="17" t="s">
        <v>29</v>
      </c>
      <c r="E3" s="17" t="s">
        <v>94</v>
      </c>
      <c r="F3" s="17" t="s">
        <v>187</v>
      </c>
      <c r="G3" s="17" t="s">
        <v>79</v>
      </c>
      <c r="H3" s="18" t="s">
        <v>25</v>
      </c>
      <c r="I3" s="19"/>
      <c r="J3" s="20"/>
      <c r="K3" s="21">
        <f>Twirling_Solo_Program28910111213141516171852535455565758606163656768697273747576777879[[#This Row],[Judge 1
Tamara Beljak]]-J3</f>
        <v>0</v>
      </c>
      <c r="L3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Row],[Category]],Twirling_Solo_Program28910111213141516171852535455565758606163656768697273747576777879[J1 TOTAL],"&gt;"&amp;Twirling_Solo_Program28910111213141516171852535455565758606163656768697273747576777879[[#This Row],[J1 TOTAL]])+1</f>
        <v>1</v>
      </c>
      <c r="M3" s="19">
        <v>62.8</v>
      </c>
      <c r="N3" s="20">
        <v>4</v>
      </c>
      <c r="O3" s="21">
        <f>Twirling_Solo_Program28910111213141516171852535455565758606163656768697273747576777879[[#This Row],[Judge 2
Tihomir Bendelja]]-Twirling_Solo_Program28910111213141516171852535455565758606163656768697273747576777879[[#This Row],[J2 (-)]]</f>
        <v>58.8</v>
      </c>
      <c r="P3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Row],[Category]],Twirling_Solo_Program28910111213141516171852535455565758606163656768697273747576777879[J2 TOTAL],"&gt;"&amp;Twirling_Solo_Program28910111213141516171852535455565758606163656768697273747576777879[[#This Row],[J2 TOTAL]])+1</f>
        <v>2</v>
      </c>
      <c r="Q3" s="19">
        <v>64.900000000000006</v>
      </c>
      <c r="R3" s="20">
        <v>4</v>
      </c>
      <c r="S3" s="21">
        <f>Twirling_Solo_Program28910111213141516171852535455565758606163656768697273747576777879[[#This Row],[Judge 3
Barbara Novina]]-R3</f>
        <v>60.900000000000006</v>
      </c>
      <c r="T3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Row],[Category]],Twirling_Solo_Program28910111213141516171852535455565758606163656768697273747576777879[J3 TOTAL],"&gt;"&amp;Twirling_Solo_Program28910111213141516171852535455565758606163656768697273747576777879[[#This Row],[J3 TOTAL]])+1</f>
        <v>2</v>
      </c>
      <c r="U3" s="19"/>
      <c r="V3" s="20"/>
      <c r="W3" s="21">
        <f>Twirling_Solo_Program28910111213141516171852535455565758606163656768697273747576777879[[#This Row],[Judge 4
Bernard Barač]]-V3</f>
        <v>0</v>
      </c>
      <c r="X3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Row],[Category]],Twirling_Solo_Program28910111213141516171852535455565758606163656768697273747576777879[J4 TOTAL],"&gt;"&amp;Twirling_Solo_Program28910111213141516171852535455565758606163656768697273747576777879[[#This Row],[J4 TOTAL]])+1</f>
        <v>1</v>
      </c>
      <c r="Y3" s="23">
        <f>SUM(Twirling_Solo_Program28910111213141516171852535455565758606163656768697273747576777879[[#This Row],[J1 TOTAL]]+Twirling_Solo_Program28910111213141516171852535455565758606163656768697273747576777879[[#This Row],[J2 TOTAL]]+Twirling_Solo_Program28910111213141516171852535455565758606163656768697273747576777879[[#This Row],[J3 TOTAL]]+Twirling_Solo_Program28910111213141516171852535455565758606163656768697273747576777879[[#This Row],[J4 TOTAL]])</f>
        <v>119.7</v>
      </c>
      <c r="Z3" s="23"/>
      <c r="AA3" s="23"/>
      <c r="AB3" s="23">
        <f>SUM(Twirling_Solo_Program28910111213141516171852535455565758606163656768697273747576777879[[#This Row],[Total]]-Twirling_Solo_Program28910111213141516171852535455565758606163656768697273747576777879[[#This Row],[Low]]-Twirling_Solo_Program28910111213141516171852535455565758606163656768697273747576777879[[#This Row],[High]])</f>
        <v>119.7</v>
      </c>
      <c r="AC3" s="23">
        <f t="shared" si="0"/>
        <v>63.85</v>
      </c>
      <c r="AD3" s="24">
        <f>Twirling_Solo_Program28910111213141516171852535455565758606163656768697273747576777879[[#This Row],[Final Total]]</f>
        <v>119.7</v>
      </c>
      <c r="AE3" s="25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Row],[Category]],Twirling_Solo_Program28910111213141516171852535455565758606163656768697273747576777879[FINAL SCORE],"&gt;"&amp;Twirling_Solo_Program28910111213141516171852535455565758606163656768697273747576777879[[#This Row],[FINAL SCORE]])+1</f>
        <v>2</v>
      </c>
      <c r="AF3" s="16" t="s">
        <v>34</v>
      </c>
    </row>
    <row r="4" spans="1:51" x14ac:dyDescent="0.3">
      <c r="A4" s="16">
        <v>148</v>
      </c>
      <c r="B4" s="17">
        <v>2</v>
      </c>
      <c r="C4" s="17" t="s">
        <v>163</v>
      </c>
      <c r="D4" s="17" t="s">
        <v>29</v>
      </c>
      <c r="E4" s="17" t="s">
        <v>94</v>
      </c>
      <c r="F4" s="17" t="s">
        <v>188</v>
      </c>
      <c r="G4" s="17" t="s">
        <v>33</v>
      </c>
      <c r="H4" s="18" t="s">
        <v>28</v>
      </c>
      <c r="I4" s="19"/>
      <c r="J4" s="20"/>
      <c r="K4" s="21">
        <f>Twirling_Solo_Program28910111213141516171852535455565758606163656768697273747576777879[[#This Row],[Judge 1
Tamara Beljak]]-J4</f>
        <v>0</v>
      </c>
      <c r="L4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Row],[Category]],Twirling_Solo_Program28910111213141516171852535455565758606163656768697273747576777879[J1 TOTAL],"&gt;"&amp;Twirling_Solo_Program28910111213141516171852535455565758606163656768697273747576777879[[#This Row],[J1 TOTAL]])+1</f>
        <v>1</v>
      </c>
      <c r="M4" s="19">
        <v>62.5</v>
      </c>
      <c r="N4" s="20">
        <v>4</v>
      </c>
      <c r="O4" s="21">
        <f>Twirling_Solo_Program28910111213141516171852535455565758606163656768697273747576777879[[#This Row],[Judge 2
Tihomir Bendelja]]-Twirling_Solo_Program28910111213141516171852535455565758606163656768697273747576777879[[#This Row],[J2 (-)]]</f>
        <v>58.5</v>
      </c>
      <c r="P4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Row],[Category]],Twirling_Solo_Program28910111213141516171852535455565758606163656768697273747576777879[J2 TOTAL],"&gt;"&amp;Twirling_Solo_Program28910111213141516171852535455565758606163656768697273747576777879[[#This Row],[J2 TOTAL]])+1</f>
        <v>3</v>
      </c>
      <c r="Q4" s="19">
        <v>64.2</v>
      </c>
      <c r="R4" s="20">
        <v>4</v>
      </c>
      <c r="S4" s="21">
        <f>Twirling_Solo_Program28910111213141516171852535455565758606163656768697273747576777879[[#This Row],[Judge 3
Barbara Novina]]-R4</f>
        <v>60.2</v>
      </c>
      <c r="T4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Row],[Category]],Twirling_Solo_Program28910111213141516171852535455565758606163656768697273747576777879[J3 TOTAL],"&gt;"&amp;Twirling_Solo_Program28910111213141516171852535455565758606163656768697273747576777879[[#This Row],[J3 TOTAL]])+1</f>
        <v>3</v>
      </c>
      <c r="U4" s="19"/>
      <c r="V4" s="20"/>
      <c r="W4" s="21">
        <f>Twirling_Solo_Program28910111213141516171852535455565758606163656768697273747576777879[[#This Row],[Judge 4
Bernard Barač]]-V4</f>
        <v>0</v>
      </c>
      <c r="X4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Row],[Category]],Twirling_Solo_Program28910111213141516171852535455565758606163656768697273747576777879[J4 TOTAL],"&gt;"&amp;Twirling_Solo_Program28910111213141516171852535455565758606163656768697273747576777879[[#This Row],[J4 TOTAL]])+1</f>
        <v>1</v>
      </c>
      <c r="Y4" s="23">
        <f>SUM(Twirling_Solo_Program28910111213141516171852535455565758606163656768697273747576777879[[#This Row],[J1 TOTAL]]+Twirling_Solo_Program28910111213141516171852535455565758606163656768697273747576777879[[#This Row],[J2 TOTAL]]+Twirling_Solo_Program28910111213141516171852535455565758606163656768697273747576777879[[#This Row],[J3 TOTAL]]+Twirling_Solo_Program28910111213141516171852535455565758606163656768697273747576777879[[#This Row],[J4 TOTAL]])</f>
        <v>118.7</v>
      </c>
      <c r="Z4" s="23"/>
      <c r="AA4" s="23"/>
      <c r="AB4" s="23">
        <f>SUM(Twirling_Solo_Program28910111213141516171852535455565758606163656768697273747576777879[[#This Row],[Total]]-Twirling_Solo_Program28910111213141516171852535455565758606163656768697273747576777879[[#This Row],[Low]]-Twirling_Solo_Program28910111213141516171852535455565758606163656768697273747576777879[[#This Row],[High]])</f>
        <v>118.7</v>
      </c>
      <c r="AC4" s="23">
        <f t="shared" si="0"/>
        <v>63.35</v>
      </c>
      <c r="AD4" s="24">
        <f>Twirling_Solo_Program28910111213141516171852535455565758606163656768697273747576777879[[#This Row],[Final Total]]</f>
        <v>118.7</v>
      </c>
      <c r="AE4" s="25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Row],[Category]],Twirling_Solo_Program28910111213141516171852535455565758606163656768697273747576777879[FINAL SCORE],"&gt;"&amp;Twirling_Solo_Program28910111213141516171852535455565758606163656768697273747576777879[[#This Row],[FINAL SCORE]])+1</f>
        <v>3</v>
      </c>
      <c r="AF4" s="16" t="s">
        <v>34</v>
      </c>
    </row>
    <row r="5" spans="1:51" x14ac:dyDescent="0.3">
      <c r="A5" s="16">
        <v>142</v>
      </c>
      <c r="B5" s="17">
        <v>2</v>
      </c>
      <c r="C5" s="17" t="s">
        <v>163</v>
      </c>
      <c r="D5" s="17" t="s">
        <v>29</v>
      </c>
      <c r="E5" s="17" t="s">
        <v>94</v>
      </c>
      <c r="F5" s="17" t="s">
        <v>185</v>
      </c>
      <c r="G5" s="17" t="s">
        <v>32</v>
      </c>
      <c r="H5" s="18" t="s">
        <v>25</v>
      </c>
      <c r="I5" s="19"/>
      <c r="J5" s="20"/>
      <c r="K5" s="21">
        <f>Twirling_Solo_Program28910111213141516171852535455565758606163656768697273747576777879[[#This Row],[Judge 1
Tamara Beljak]]-J5</f>
        <v>0</v>
      </c>
      <c r="L5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Row],[Category]],Twirling_Solo_Program28910111213141516171852535455565758606163656768697273747576777879[J1 TOTAL],"&gt;"&amp;Twirling_Solo_Program28910111213141516171852535455565758606163656768697273747576777879[[#This Row],[J1 TOTAL]])+1</f>
        <v>1</v>
      </c>
      <c r="M5" s="19">
        <v>62.1</v>
      </c>
      <c r="N5" s="20">
        <v>4</v>
      </c>
      <c r="O5" s="21">
        <f>Twirling_Solo_Program28910111213141516171852535455565758606163656768697273747576777879[[#This Row],[Judge 2
Tihomir Bendelja]]-Twirling_Solo_Program28910111213141516171852535455565758606163656768697273747576777879[[#This Row],[J2 (-)]]</f>
        <v>58.1</v>
      </c>
      <c r="P5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Row],[Category]],Twirling_Solo_Program28910111213141516171852535455565758606163656768697273747576777879[J2 TOTAL],"&gt;"&amp;Twirling_Solo_Program28910111213141516171852535455565758606163656768697273747576777879[[#This Row],[J2 TOTAL]])+1</f>
        <v>5</v>
      </c>
      <c r="Q5" s="19">
        <v>63.5</v>
      </c>
      <c r="R5" s="20">
        <v>4</v>
      </c>
      <c r="S5" s="21">
        <f>Twirling_Solo_Program28910111213141516171852535455565758606163656768697273747576777879[[#This Row],[Judge 3
Barbara Novina]]-R5</f>
        <v>59.5</v>
      </c>
      <c r="T5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Row],[Category]],Twirling_Solo_Program28910111213141516171852535455565758606163656768697273747576777879[J3 TOTAL],"&gt;"&amp;Twirling_Solo_Program28910111213141516171852535455565758606163656768697273747576777879[[#This Row],[J3 TOTAL]])+1</f>
        <v>4</v>
      </c>
      <c r="U5" s="19"/>
      <c r="V5" s="20"/>
      <c r="W5" s="21">
        <f>Twirling_Solo_Program28910111213141516171852535455565758606163656768697273747576777879[[#This Row],[Judge 4
Bernard Barač]]-V5</f>
        <v>0</v>
      </c>
      <c r="X5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Row],[Category]],Twirling_Solo_Program28910111213141516171852535455565758606163656768697273747576777879[J4 TOTAL],"&gt;"&amp;Twirling_Solo_Program28910111213141516171852535455565758606163656768697273747576777879[[#This Row],[J4 TOTAL]])+1</f>
        <v>1</v>
      </c>
      <c r="Y5" s="23">
        <f>SUM(Twirling_Solo_Program28910111213141516171852535455565758606163656768697273747576777879[[#This Row],[J1 TOTAL]]+Twirling_Solo_Program28910111213141516171852535455565758606163656768697273747576777879[[#This Row],[J2 TOTAL]]+Twirling_Solo_Program28910111213141516171852535455565758606163656768697273747576777879[[#This Row],[J3 TOTAL]]+Twirling_Solo_Program28910111213141516171852535455565758606163656768697273747576777879[[#This Row],[J4 TOTAL]])</f>
        <v>117.6</v>
      </c>
      <c r="Z5" s="23"/>
      <c r="AA5" s="23"/>
      <c r="AB5" s="23">
        <f>SUM(Twirling_Solo_Program28910111213141516171852535455565758606163656768697273747576777879[[#This Row],[Total]]-Twirling_Solo_Program28910111213141516171852535455565758606163656768697273747576777879[[#This Row],[Low]]-Twirling_Solo_Program28910111213141516171852535455565758606163656768697273747576777879[[#This Row],[High]])</f>
        <v>117.6</v>
      </c>
      <c r="AC5" s="23">
        <f t="shared" si="0"/>
        <v>62.8</v>
      </c>
      <c r="AD5" s="24">
        <f>Twirling_Solo_Program28910111213141516171852535455565758606163656768697273747576777879[[#This Row],[Final Total]]</f>
        <v>117.6</v>
      </c>
      <c r="AE5" s="25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Row],[Category]],Twirling_Solo_Program28910111213141516171852535455565758606163656768697273747576777879[FINAL SCORE],"&gt;"&amp;Twirling_Solo_Program28910111213141516171852535455565758606163656768697273747576777879[[#This Row],[FINAL SCORE]])+1</f>
        <v>4</v>
      </c>
      <c r="AF5" s="16" t="s">
        <v>34</v>
      </c>
    </row>
    <row r="6" spans="1:51" x14ac:dyDescent="0.3">
      <c r="A6" s="16">
        <v>140</v>
      </c>
      <c r="B6" s="17">
        <v>2</v>
      </c>
      <c r="C6" s="17" t="s">
        <v>163</v>
      </c>
      <c r="D6" s="17" t="s">
        <v>29</v>
      </c>
      <c r="E6" s="17" t="s">
        <v>94</v>
      </c>
      <c r="F6" s="17" t="s">
        <v>184</v>
      </c>
      <c r="G6" s="17" t="s">
        <v>54</v>
      </c>
      <c r="H6" s="18" t="s">
        <v>28</v>
      </c>
      <c r="I6" s="19"/>
      <c r="J6" s="20"/>
      <c r="K6" s="21">
        <f>Twirling_Solo_Program28910111213141516171852535455565758606163656768697273747576777879[[#This Row],[Judge 1
Tamara Beljak]]-J6</f>
        <v>0</v>
      </c>
      <c r="L6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Row],[Category]],Twirling_Solo_Program28910111213141516171852535455565758606163656768697273747576777879[J1 TOTAL],"&gt;"&amp;Twirling_Solo_Program28910111213141516171852535455565758606163656768697273747576777879[[#This Row],[J1 TOTAL]])+1</f>
        <v>1</v>
      </c>
      <c r="M6" s="19">
        <v>61</v>
      </c>
      <c r="N6" s="20">
        <v>2.5</v>
      </c>
      <c r="O6" s="21">
        <f>Twirling_Solo_Program28910111213141516171852535455565758606163656768697273747576777879[[#This Row],[Judge 2
Tihomir Bendelja]]-Twirling_Solo_Program28910111213141516171852535455565758606163656768697273747576777879[[#This Row],[J2 (-)]]</f>
        <v>58.5</v>
      </c>
      <c r="P6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Row],[Category]],Twirling_Solo_Program28910111213141516171852535455565758606163656768697273747576777879[J2 TOTAL],"&gt;"&amp;Twirling_Solo_Program28910111213141516171852535455565758606163656768697273747576777879[[#This Row],[J2 TOTAL]])+1</f>
        <v>3</v>
      </c>
      <c r="Q6" s="19">
        <v>60.7</v>
      </c>
      <c r="R6" s="20">
        <v>2</v>
      </c>
      <c r="S6" s="21">
        <f>Twirling_Solo_Program28910111213141516171852535455565758606163656768697273747576777879[[#This Row],[Judge 3
Barbara Novina]]-R6</f>
        <v>58.7</v>
      </c>
      <c r="T6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Row],[Category]],Twirling_Solo_Program28910111213141516171852535455565758606163656768697273747576777879[J3 TOTAL],"&gt;"&amp;Twirling_Solo_Program28910111213141516171852535455565758606163656768697273747576777879[[#This Row],[J3 TOTAL]])+1</f>
        <v>5</v>
      </c>
      <c r="U6" s="19"/>
      <c r="V6" s="20"/>
      <c r="W6" s="21">
        <f>Twirling_Solo_Program28910111213141516171852535455565758606163656768697273747576777879[[#This Row],[Judge 4
Bernard Barač]]-V6</f>
        <v>0</v>
      </c>
      <c r="X6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Row],[Category]],Twirling_Solo_Program28910111213141516171852535455565758606163656768697273747576777879[J4 TOTAL],"&gt;"&amp;Twirling_Solo_Program28910111213141516171852535455565758606163656768697273747576777879[[#This Row],[J4 TOTAL]])+1</f>
        <v>1</v>
      </c>
      <c r="Y6" s="23">
        <f>SUM(Twirling_Solo_Program28910111213141516171852535455565758606163656768697273747576777879[[#This Row],[J1 TOTAL]]+Twirling_Solo_Program28910111213141516171852535455565758606163656768697273747576777879[[#This Row],[J2 TOTAL]]+Twirling_Solo_Program28910111213141516171852535455565758606163656768697273747576777879[[#This Row],[J3 TOTAL]]+Twirling_Solo_Program28910111213141516171852535455565758606163656768697273747576777879[[#This Row],[J4 TOTAL]])</f>
        <v>117.2</v>
      </c>
      <c r="Z6" s="23"/>
      <c r="AA6" s="23"/>
      <c r="AB6" s="23">
        <f>SUM(Twirling_Solo_Program28910111213141516171852535455565758606163656768697273747576777879[[#This Row],[Total]]-Twirling_Solo_Program28910111213141516171852535455565758606163656768697273747576777879[[#This Row],[Low]]-Twirling_Solo_Program28910111213141516171852535455565758606163656768697273747576777879[[#This Row],[High]])</f>
        <v>117.2</v>
      </c>
      <c r="AC6" s="23">
        <f t="shared" si="0"/>
        <v>60.85</v>
      </c>
      <c r="AD6" s="24">
        <f>Twirling_Solo_Program28910111213141516171852535455565758606163656768697273747576777879[[#This Row],[Final Total]]</f>
        <v>117.2</v>
      </c>
      <c r="AE6" s="25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Row],[Category]],Twirling_Solo_Program28910111213141516171852535455565758606163656768697273747576777879[FINAL SCORE],"&gt;"&amp;Twirling_Solo_Program28910111213141516171852535455565758606163656768697273747576777879[[#This Row],[FINAL SCORE]])+1</f>
        <v>5</v>
      </c>
      <c r="AF6" s="16" t="s">
        <v>34</v>
      </c>
    </row>
    <row r="7" spans="1:51" x14ac:dyDescent="0.3">
      <c r="A7" s="16">
        <v>150</v>
      </c>
      <c r="B7" s="17">
        <v>2</v>
      </c>
      <c r="C7" s="17" t="s">
        <v>163</v>
      </c>
      <c r="D7" s="17" t="s">
        <v>29</v>
      </c>
      <c r="E7" s="17" t="s">
        <v>94</v>
      </c>
      <c r="F7" s="17" t="s">
        <v>189</v>
      </c>
      <c r="G7" s="17" t="s">
        <v>146</v>
      </c>
      <c r="H7" s="18" t="s">
        <v>28</v>
      </c>
      <c r="I7" s="19"/>
      <c r="J7" s="20"/>
      <c r="K7" s="21">
        <f>Twirling_Solo_Program28910111213141516171852535455565758606163656768697273747576777879[[#This Row],[Judge 1
Tamara Beljak]]-J7</f>
        <v>0</v>
      </c>
      <c r="L7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Row],[Category]],Twirling_Solo_Program28910111213141516171852535455565758606163656768697273747576777879[J1 TOTAL],"&gt;"&amp;Twirling_Solo_Program28910111213141516171852535455565758606163656768697273747576777879[[#This Row],[J1 TOTAL]])+1</f>
        <v>1</v>
      </c>
      <c r="M7" s="19">
        <v>60</v>
      </c>
      <c r="N7" s="20">
        <v>3</v>
      </c>
      <c r="O7" s="21">
        <f>Twirling_Solo_Program28910111213141516171852535455565758606163656768697273747576777879[[#This Row],[Judge 2
Tihomir Bendelja]]-Twirling_Solo_Program28910111213141516171852535455565758606163656768697273747576777879[[#This Row],[J2 (-)]]</f>
        <v>57</v>
      </c>
      <c r="P7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Row],[Category]],Twirling_Solo_Program28910111213141516171852535455565758606163656768697273747576777879[J2 TOTAL],"&gt;"&amp;Twirling_Solo_Program28910111213141516171852535455565758606163656768697273747576777879[[#This Row],[J2 TOTAL]])+1</f>
        <v>6</v>
      </c>
      <c r="Q7" s="19">
        <v>57</v>
      </c>
      <c r="R7" s="20">
        <v>3</v>
      </c>
      <c r="S7" s="21">
        <f>Twirling_Solo_Program28910111213141516171852535455565758606163656768697273747576777879[[#This Row],[Judge 3
Barbara Novina]]-R7</f>
        <v>54</v>
      </c>
      <c r="T7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Row],[Category]],Twirling_Solo_Program28910111213141516171852535455565758606163656768697273747576777879[J3 TOTAL],"&gt;"&amp;Twirling_Solo_Program28910111213141516171852535455565758606163656768697273747576777879[[#This Row],[J3 TOTAL]])+1</f>
        <v>6</v>
      </c>
      <c r="U7" s="19"/>
      <c r="V7" s="20"/>
      <c r="W7" s="21">
        <f>Twirling_Solo_Program28910111213141516171852535455565758606163656768697273747576777879[[#This Row],[Judge 4
Bernard Barač]]-V7</f>
        <v>0</v>
      </c>
      <c r="X7" s="22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Row],[Category]],Twirling_Solo_Program28910111213141516171852535455565758606163656768697273747576777879[J4 TOTAL],"&gt;"&amp;Twirling_Solo_Program28910111213141516171852535455565758606163656768697273747576777879[[#This Row],[J4 TOTAL]])+1</f>
        <v>1</v>
      </c>
      <c r="Y7" s="23">
        <f>SUM(Twirling_Solo_Program28910111213141516171852535455565758606163656768697273747576777879[[#This Row],[J1 TOTAL]]+Twirling_Solo_Program28910111213141516171852535455565758606163656768697273747576777879[[#This Row],[J2 TOTAL]]+Twirling_Solo_Program28910111213141516171852535455565758606163656768697273747576777879[[#This Row],[J3 TOTAL]]+Twirling_Solo_Program28910111213141516171852535455565758606163656768697273747576777879[[#This Row],[J4 TOTAL]])</f>
        <v>111</v>
      </c>
      <c r="Z7" s="23"/>
      <c r="AA7" s="23"/>
      <c r="AB7" s="23">
        <f>SUM(Twirling_Solo_Program28910111213141516171852535455565758606163656768697273747576777879[[#This Row],[Total]]-Twirling_Solo_Program28910111213141516171852535455565758606163656768697273747576777879[[#This Row],[Low]]-Twirling_Solo_Program28910111213141516171852535455565758606163656768697273747576777879[[#This Row],[High]])</f>
        <v>111</v>
      </c>
      <c r="AC7" s="23">
        <f t="shared" si="0"/>
        <v>58.5</v>
      </c>
      <c r="AD7" s="24">
        <f>Twirling_Solo_Program28910111213141516171852535455565758606163656768697273747576777879[[#This Row],[Final Total]]</f>
        <v>111</v>
      </c>
      <c r="AE7" s="25">
        <f>COUNTIFS(Twirling_Solo_Program28910111213141516171852535455565758606163656768697273747576777879[Age
Division],Twirling_Solo_Program28910111213141516171852535455565758606163656768697273747576777879[[#This Row],[Age
Division]],Twirling_Solo_Program28910111213141516171852535455565758606163656768697273747576777879[Category],Twirling_Solo_Program28910111213141516171852535455565758606163656768697273747576777879[[#This Row],[Category]],Twirling_Solo_Program28910111213141516171852535455565758606163656768697273747576777879[FINAL SCORE],"&gt;"&amp;Twirling_Solo_Program28910111213141516171852535455565758606163656768697273747576777879[[#This Row],[FINAL SCORE]])+1</f>
        <v>6</v>
      </c>
      <c r="AF7" s="16" t="s">
        <v>34</v>
      </c>
    </row>
  </sheetData>
  <sheetProtection algorithmName="SHA-512" hashValue="nNRSx6JBTPzNMSYc0+DYb92cR9mTcYf6XqJbjaPggIqegiYI1fs75bSLxx+hPQT2KFPlucH7dbYqXPiRX6kUWg==" saltValue="bf94uaEwvwso3idgPjsVaw==" spinCount="100000" sheet="1" objects="1" scenarios="1" formatColumns="0" formatRows="0" autoFilter="0"/>
  <phoneticPr fontId="8" type="noConversion"/>
  <pageMargins left="0.7" right="0.7" top="0.75" bottom="0.75" header="0.3" footer="0.3"/>
  <pageSetup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42578125" style="27" customWidth="1"/>
    <col min="2" max="2" width="4.42578125" style="27" customWidth="1"/>
    <col min="3" max="3" width="11.5703125" style="27" customWidth="1"/>
    <col min="4" max="4" width="9.42578125" style="28" customWidth="1"/>
    <col min="5" max="5" width="12.28515625" style="28" customWidth="1"/>
    <col min="6" max="6" width="23.42578125" style="18" customWidth="1"/>
    <col min="7" max="7" width="40.28515625" style="18" customWidth="1"/>
    <col min="8" max="8" width="8" style="18" customWidth="1"/>
    <col min="9" max="12" width="9.140625" style="18" hidden="1" customWidth="1"/>
    <col min="13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138</v>
      </c>
      <c r="B2" s="17">
        <v>2</v>
      </c>
      <c r="C2" s="17" t="s">
        <v>163</v>
      </c>
      <c r="D2" s="17" t="s">
        <v>29</v>
      </c>
      <c r="E2" s="17" t="s">
        <v>95</v>
      </c>
      <c r="F2" s="17" t="s">
        <v>190</v>
      </c>
      <c r="G2" s="17" t="s">
        <v>79</v>
      </c>
      <c r="H2" s="18" t="s">
        <v>25</v>
      </c>
      <c r="I2" s="19"/>
      <c r="J2" s="20"/>
      <c r="K2" s="21">
        <f>Twirling_Solo_Program2891011121314151617185253545556575860616365676869727374757677787980[[#This Row],[Judge 1
Tamara Beljak]]-J2</f>
        <v>0</v>
      </c>
      <c r="L2" s="22">
        <f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Row],[Category]],Twirling_Solo_Program2891011121314151617185253545556575860616365676869727374757677787980[J1 TOTAL],"&gt;"&amp;Twirling_Solo_Program2891011121314151617185253545556575860616365676869727374757677787980[[#This Row],[J1 TOTAL]])+1</f>
        <v>1</v>
      </c>
      <c r="M2" s="19">
        <v>83.6</v>
      </c>
      <c r="N2" s="20">
        <v>0.5</v>
      </c>
      <c r="O2" s="21">
        <f>Twirling_Solo_Program2891011121314151617185253545556575860616365676869727374757677787980[[#This Row],[Judge 2
Tihomir Bendelja]]-Twirling_Solo_Program2891011121314151617185253545556575860616365676869727374757677787980[[#This Row],[J2 (-)]]</f>
        <v>83.1</v>
      </c>
      <c r="P2" s="22">
        <f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Row],[Category]],Twirling_Solo_Program2891011121314151617185253545556575860616365676869727374757677787980[J2 TOTAL],"&gt;"&amp;Twirling_Solo_Program2891011121314151617185253545556575860616365676869727374757677787980[[#This Row],[J2 TOTAL]])+1</f>
        <v>1</v>
      </c>
      <c r="Q2" s="19">
        <v>79.599999999999994</v>
      </c>
      <c r="R2" s="20">
        <v>0.5</v>
      </c>
      <c r="S2" s="21">
        <f>Twirling_Solo_Program2891011121314151617185253545556575860616365676869727374757677787980[[#This Row],[Judge 3
Barbara Novina]]-R2</f>
        <v>79.099999999999994</v>
      </c>
      <c r="T2" s="22">
        <f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Row],[Category]],Twirling_Solo_Program2891011121314151617185253545556575860616365676869727374757677787980[J3 TOTAL],"&gt;"&amp;Twirling_Solo_Program2891011121314151617185253545556575860616365676869727374757677787980[[#This Row],[J3 TOTAL]])+1</f>
        <v>1</v>
      </c>
      <c r="U2" s="19"/>
      <c r="V2" s="20"/>
      <c r="W2" s="21">
        <f>Twirling_Solo_Program2891011121314151617185253545556575860616365676869727374757677787980[[#This Row],[Judge 4
Bernard Barač]]-V2</f>
        <v>0</v>
      </c>
      <c r="X2" s="22">
        <f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Row],[Category]],Twirling_Solo_Program2891011121314151617185253545556575860616365676869727374757677787980[J4 TOTAL],"&gt;"&amp;Twirling_Solo_Program2891011121314151617185253545556575860616365676869727374757677787980[[#This Row],[J4 TOTAL]])+1</f>
        <v>1</v>
      </c>
      <c r="Y2" s="23">
        <f>SUM(Twirling_Solo_Program2891011121314151617185253545556575860616365676869727374757677787980[[#This Row],[J1 TOTAL]]+Twirling_Solo_Program2891011121314151617185253545556575860616365676869727374757677787980[[#This Row],[J2 TOTAL]]+Twirling_Solo_Program2891011121314151617185253545556575860616365676869727374757677787980[[#This Row],[J3 TOTAL]]+Twirling_Solo_Program2891011121314151617185253545556575860616365676869727374757677787980[[#This Row],[J4 TOTAL]])</f>
        <v>162.19999999999999</v>
      </c>
      <c r="Z2" s="23"/>
      <c r="AA2" s="23"/>
      <c r="AB2" s="23">
        <f>SUM(Twirling_Solo_Program2891011121314151617185253545556575860616365676869727374757677787980[[#This Row],[Total]]-Twirling_Solo_Program2891011121314151617185253545556575860616365676869727374757677787980[[#This Row],[Low]]-Twirling_Solo_Program2891011121314151617185253545556575860616365676869727374757677787980[[#This Row],[High]])</f>
        <v>162.19999999999999</v>
      </c>
      <c r="AC2" s="23">
        <f>AVERAGE(I2,M2,Q2,U2)</f>
        <v>81.599999999999994</v>
      </c>
      <c r="AD2" s="24">
        <f>Twirling_Solo_Program2891011121314151617185253545556575860616365676869727374757677787980[[#This Row],[Final Total]]</f>
        <v>162.19999999999999</v>
      </c>
      <c r="AE2" s="25">
        <f>COUNTIFS(Twirling_Solo_Program2891011121314151617185253545556575860616365676869727374757677787980[Age
Division],Twirling_Solo_Program2891011121314151617185253545556575860616365676869727374757677787980[[#This Row],[Age
Division]],Twirling_Solo_Program2891011121314151617185253545556575860616365676869727374757677787980[Category],Twirling_Solo_Program2891011121314151617185253545556575860616365676869727374757677787980[[#This Row],[Category]],Twirling_Solo_Program2891011121314151617185253545556575860616365676869727374757677787980[FINAL SCORE],"&gt;"&amp;Twirling_Solo_Program2891011121314151617185253545556575860616365676869727374757677787980[[#This Row],[FINAL SCORE]])+1</f>
        <v>1</v>
      </c>
      <c r="AF2" s="16" t="s">
        <v>34</v>
      </c>
    </row>
  </sheetData>
  <sheetProtection algorithmName="SHA-512" hashValue="krGrRzb8jXk3Bzdclx8iMhmex6qdghDXDeIsXJMsqlYqUG5cTOIZhhbLlhZW4N5hl6LCXyfOLJB8GuJtmR2yVQ==" saltValue="0CJwf9gIJNLTs0+VDuUHZA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2.85546875" style="27" customWidth="1"/>
    <col min="4" max="4" width="10.5703125" style="28" customWidth="1"/>
    <col min="5" max="5" width="12" style="28" customWidth="1"/>
    <col min="6" max="6" width="12.28515625" style="18" hidden="1" customWidth="1"/>
    <col min="7" max="7" width="34" style="18" customWidth="1"/>
    <col min="8" max="8" width="15.7109375" style="18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151</v>
      </c>
      <c r="B2" s="17"/>
      <c r="C2" s="17" t="s">
        <v>191</v>
      </c>
      <c r="D2" s="17" t="s">
        <v>30</v>
      </c>
      <c r="E2" s="17" t="s">
        <v>127</v>
      </c>
      <c r="F2" s="17"/>
      <c r="G2" s="17" t="s">
        <v>52</v>
      </c>
      <c r="H2" s="18" t="s">
        <v>25</v>
      </c>
      <c r="I2" s="19">
        <v>51.2</v>
      </c>
      <c r="J2" s="20">
        <v>1.5</v>
      </c>
      <c r="K2" s="21">
        <f>Twirling_Solo_Program289101112131415161718525354555657586061636567686972737475767778798081[[#This Row],[Judge 1
Tamara Beljak]]-J2</f>
        <v>49.7</v>
      </c>
      <c r="L2" s="22">
        <f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Row],[Category]],Twirling_Solo_Program289101112131415161718525354555657586061636567686972737475767778798081[J1 TOTAL],"&gt;"&amp;Twirling_Solo_Program289101112131415161718525354555657586061636567686972737475767778798081[[#This Row],[J1 TOTAL]])+1</f>
        <v>1</v>
      </c>
      <c r="M2" s="19">
        <v>50.5</v>
      </c>
      <c r="N2" s="20">
        <v>1.9</v>
      </c>
      <c r="O2" s="21">
        <f>Twirling_Solo_Program289101112131415161718525354555657586061636567686972737475767778798081[[#This Row],[Judge 2
Tihomir Bendelja]]-Twirling_Solo_Program289101112131415161718525354555657586061636567686972737475767778798081[[#This Row],[J2 (-)]]</f>
        <v>48.6</v>
      </c>
      <c r="P2" s="22">
        <f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Row],[Category]],Twirling_Solo_Program289101112131415161718525354555657586061636567686972737475767778798081[J2 TOTAL],"&gt;"&amp;Twirling_Solo_Program289101112131415161718525354555657586061636567686972737475767778798081[[#This Row],[J2 TOTAL]])+1</f>
        <v>1</v>
      </c>
      <c r="Q2" s="19">
        <v>46</v>
      </c>
      <c r="R2" s="20">
        <v>1.6</v>
      </c>
      <c r="S2" s="21">
        <f>Twirling_Solo_Program289101112131415161718525354555657586061636567686972737475767778798081[[#This Row],[Judge 3
Barbara Novina]]-R2</f>
        <v>44.4</v>
      </c>
      <c r="T2" s="22">
        <f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Row],[Category]],Twirling_Solo_Program289101112131415161718525354555657586061636567686972737475767778798081[J3 TOTAL],"&gt;"&amp;Twirling_Solo_Program289101112131415161718525354555657586061636567686972737475767778798081[[#This Row],[J3 TOTAL]])+1</f>
        <v>1</v>
      </c>
      <c r="U2" s="19">
        <v>52</v>
      </c>
      <c r="V2" s="20">
        <v>1.6</v>
      </c>
      <c r="W2" s="21">
        <f>Twirling_Solo_Program289101112131415161718525354555657586061636567686972737475767778798081[[#This Row],[Judge 4
Bernard Barač]]-V2</f>
        <v>50.4</v>
      </c>
      <c r="X2" s="22">
        <f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Row],[Category]],Twirling_Solo_Program289101112131415161718525354555657586061636567686972737475767778798081[J4 TOTAL],"&gt;"&amp;Twirling_Solo_Program289101112131415161718525354555657586061636567686972737475767778798081[[#This Row],[J4 TOTAL]])+1</f>
        <v>1</v>
      </c>
      <c r="Y2" s="23">
        <f>SUM(Twirling_Solo_Program289101112131415161718525354555657586061636567686972737475767778798081[[#This Row],[J1 TOTAL]]+Twirling_Solo_Program289101112131415161718525354555657586061636567686972737475767778798081[[#This Row],[J2 TOTAL]]+Twirling_Solo_Program289101112131415161718525354555657586061636567686972737475767778798081[[#This Row],[J3 TOTAL]]+Twirling_Solo_Program289101112131415161718525354555657586061636567686972737475767778798081[[#This Row],[J4 TOTAL]])</f>
        <v>193.10000000000002</v>
      </c>
      <c r="Z2" s="23">
        <f>MIN(Twirling_Solo_Program289101112131415161718525354555657586061636567686972737475767778798081[[#This Row],[J1 TOTAL]],Twirling_Solo_Program289101112131415161718525354555657586061636567686972737475767778798081[[#This Row],[J2 TOTAL]],Twirling_Solo_Program289101112131415161718525354555657586061636567686972737475767778798081[[#This Row],[J3 TOTAL]],Twirling_Solo_Program289101112131415161718525354555657586061636567686972737475767778798081[[#This Row],[J4 TOTAL]])</f>
        <v>44.4</v>
      </c>
      <c r="AA2" s="23">
        <f>MAX(Twirling_Solo_Program289101112131415161718525354555657586061636567686972737475767778798081[[#This Row],[J1 TOTAL]],Twirling_Solo_Program289101112131415161718525354555657586061636567686972737475767778798081[[#This Row],[J2 TOTAL]],Twirling_Solo_Program289101112131415161718525354555657586061636567686972737475767778798081[[#This Row],[J3 TOTAL]],Twirling_Solo_Program289101112131415161718525354555657586061636567686972737475767778798081[[#This Row],[J4 TOTAL]])</f>
        <v>50.4</v>
      </c>
      <c r="AB2" s="23">
        <f>SUM(Twirling_Solo_Program289101112131415161718525354555657586061636567686972737475767778798081[[#This Row],[Total]]-Twirling_Solo_Program289101112131415161718525354555657586061636567686972737475767778798081[[#This Row],[Low]]-Twirling_Solo_Program289101112131415161718525354555657586061636567686972737475767778798081[[#This Row],[High]])</f>
        <v>98.300000000000011</v>
      </c>
      <c r="AC2" s="23">
        <f>AVERAGE(I2,M2,Q2,U2)</f>
        <v>49.924999999999997</v>
      </c>
      <c r="AD2" s="24">
        <f>Twirling_Solo_Program289101112131415161718525354555657586061636567686972737475767778798081[[#This Row],[Final Total]]</f>
        <v>98.300000000000011</v>
      </c>
      <c r="AE2" s="25">
        <f>COUNTIFS(Twirling_Solo_Program289101112131415161718525354555657586061636567686972737475767778798081[Age
Division],Twirling_Solo_Program289101112131415161718525354555657586061636567686972737475767778798081[[#This Row],[Age
Division]],Twirling_Solo_Program289101112131415161718525354555657586061636567686972737475767778798081[Category],Twirling_Solo_Program289101112131415161718525354555657586061636567686972737475767778798081[[#This Row],[Category]],Twirling_Solo_Program289101112131415161718525354555657586061636567686972737475767778798081[FINAL SCORE],"&gt;"&amp;Twirling_Solo_Program289101112131415161718525354555657586061636567686972737475767778798081[[#This Row],[FINAL SCORE]])+1</f>
        <v>1</v>
      </c>
      <c r="AF2" s="16" t="s">
        <v>26</v>
      </c>
    </row>
  </sheetData>
  <sheetProtection algorithmName="SHA-512" hashValue="tGEGuJ2tAyR2zuNhcXBXIqiJLZ5FjGTLajHaimo+OoMXRbedlgqdyixXjltHj/8pJoWtfTodUGWJ5ooTvRbqxQ==" saltValue="0KyrDdlkPmGtieyrBR4tS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Y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5.42578125" style="27" customWidth="1"/>
    <col min="4" max="4" width="8.85546875" style="28" customWidth="1"/>
    <col min="5" max="5" width="12.140625" style="28" customWidth="1"/>
    <col min="6" max="6" width="10.7109375" style="18" hidden="1" customWidth="1"/>
    <col min="7" max="7" width="44.7109375" style="18" customWidth="1"/>
    <col min="8" max="8" width="7.42578125" style="18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153</v>
      </c>
      <c r="B2" s="17"/>
      <c r="C2" s="17" t="s">
        <v>191</v>
      </c>
      <c r="D2" s="17" t="s">
        <v>23</v>
      </c>
      <c r="E2" s="17" t="s">
        <v>94</v>
      </c>
      <c r="F2" s="17"/>
      <c r="G2" s="17" t="s">
        <v>56</v>
      </c>
      <c r="H2" s="18" t="s">
        <v>25</v>
      </c>
      <c r="I2" s="19">
        <v>93</v>
      </c>
      <c r="J2" s="20">
        <v>0.5</v>
      </c>
      <c r="K2" s="21">
        <f>Twirling_Solo_Program28910111213141516171852535455565758606163656768697273747576777879808182[[#This Row],[Judge 1
Tamara Beljak]]-J2</f>
        <v>92.5</v>
      </c>
      <c r="L2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Row],[Category]],Twirling_Solo_Program28910111213141516171852535455565758606163656768697273747576777879808182[J1 TOTAL],"&gt;"&amp;Twirling_Solo_Program28910111213141516171852535455565758606163656768697273747576777879808182[[#This Row],[J1 TOTAL]])+1</f>
        <v>1</v>
      </c>
      <c r="M2" s="19">
        <v>83.5</v>
      </c>
      <c r="N2" s="20">
        <v>0.6</v>
      </c>
      <c r="O2" s="21">
        <f>Twirling_Solo_Program28910111213141516171852535455565758606163656768697273747576777879808182[[#This Row],[Judge 2
Tihomir Bendelja]]-Twirling_Solo_Program28910111213141516171852535455565758606163656768697273747576777879808182[[#This Row],[J2 (-)]]</f>
        <v>82.9</v>
      </c>
      <c r="P2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Row],[Category]],Twirling_Solo_Program28910111213141516171852535455565758606163656768697273747576777879808182[J2 TOTAL],"&gt;"&amp;Twirling_Solo_Program28910111213141516171852535455565758606163656768697273747576777879808182[[#This Row],[J2 TOTAL]])+1</f>
        <v>1</v>
      </c>
      <c r="Q2" s="19">
        <v>73</v>
      </c>
      <c r="R2" s="20">
        <v>0.5</v>
      </c>
      <c r="S2" s="21">
        <f>Twirling_Solo_Program28910111213141516171852535455565758606163656768697273747576777879808182[[#This Row],[Judge 3
Barbara Novina]]-R2</f>
        <v>72.5</v>
      </c>
      <c r="T2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Row],[Category]],Twirling_Solo_Program28910111213141516171852535455565758606163656768697273747576777879808182[J3 TOTAL],"&gt;"&amp;Twirling_Solo_Program28910111213141516171852535455565758606163656768697273747576777879808182[[#This Row],[J3 TOTAL]])+1</f>
        <v>1</v>
      </c>
      <c r="U2" s="19">
        <v>93.6</v>
      </c>
      <c r="V2" s="20">
        <v>0.5</v>
      </c>
      <c r="W2" s="21">
        <f>Twirling_Solo_Program28910111213141516171852535455565758606163656768697273747576777879808182[[#This Row],[Judge 4
Bernard Barač]]-V2</f>
        <v>93.1</v>
      </c>
      <c r="X2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Row],[Category]],Twirling_Solo_Program28910111213141516171852535455565758606163656768697273747576777879808182[J4 TOTAL],"&gt;"&amp;Twirling_Solo_Program28910111213141516171852535455565758606163656768697273747576777879808182[[#This Row],[J4 TOTAL]])+1</f>
        <v>1</v>
      </c>
      <c r="Y2" s="23">
        <f>SUM(Twirling_Solo_Program28910111213141516171852535455565758606163656768697273747576777879808182[[#This Row],[J1 TOTAL]]+Twirling_Solo_Program28910111213141516171852535455565758606163656768697273747576777879808182[[#This Row],[J2 TOTAL]]+Twirling_Solo_Program28910111213141516171852535455565758606163656768697273747576777879808182[[#This Row],[J3 TOTAL]]+Twirling_Solo_Program28910111213141516171852535455565758606163656768697273747576777879808182[[#This Row],[J4 TOTAL]])</f>
        <v>341</v>
      </c>
      <c r="Z2" s="23">
        <f>MIN(Twirling_Solo_Program28910111213141516171852535455565758606163656768697273747576777879808182[[#This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f>
        <v>72.5</v>
      </c>
      <c r="AA2" s="23">
        <f>MAX(Twirling_Solo_Program28910111213141516171852535455565758606163656768697273747576777879808182[[#This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f>
        <v>93.1</v>
      </c>
      <c r="AB2" s="23">
        <f>SUM(Twirling_Solo_Program28910111213141516171852535455565758606163656768697273747576777879808182[[#This Row],[Total]]-Twirling_Solo_Program28910111213141516171852535455565758606163656768697273747576777879808182[[#This Row],[Low]]-Twirling_Solo_Program28910111213141516171852535455565758606163656768697273747576777879808182[[#This Row],[High]])</f>
        <v>175.4</v>
      </c>
      <c r="AC2" s="23">
        <f>AVERAGE(I2,M2,Q2,U2)</f>
        <v>85.775000000000006</v>
      </c>
      <c r="AD2" s="24">
        <f>Twirling_Solo_Program28910111213141516171852535455565758606163656768697273747576777879808182[[#This Row],[Final Total]]</f>
        <v>175.4</v>
      </c>
      <c r="AE2" s="25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Row],[Category]],Twirling_Solo_Program28910111213141516171852535455565758606163656768697273747576777879808182[FINAL SCORE],"&gt;"&amp;Twirling_Solo_Program28910111213141516171852535455565758606163656768697273747576777879808182[[#This Row],[FINAL SCORE]])+1</f>
        <v>1</v>
      </c>
      <c r="AF2" s="16" t="s">
        <v>26</v>
      </c>
    </row>
    <row r="3" spans="1:51" x14ac:dyDescent="0.3">
      <c r="A3" s="16">
        <v>152</v>
      </c>
      <c r="B3" s="17"/>
      <c r="C3" s="17" t="s">
        <v>191</v>
      </c>
      <c r="D3" s="17" t="s">
        <v>23</v>
      </c>
      <c r="E3" s="17" t="s">
        <v>94</v>
      </c>
      <c r="F3" s="17"/>
      <c r="G3" s="17" t="s">
        <v>58</v>
      </c>
      <c r="H3" s="18" t="s">
        <v>25</v>
      </c>
      <c r="I3" s="19">
        <v>89.3</v>
      </c>
      <c r="J3" s="20">
        <v>2</v>
      </c>
      <c r="K3" s="21">
        <f>Twirling_Solo_Program28910111213141516171852535455565758606163656768697273747576777879808182[[#This Row],[Judge 1
Tamara Beljak]]-J3</f>
        <v>87.3</v>
      </c>
      <c r="L3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Row],[Category]],Twirling_Solo_Program28910111213141516171852535455565758606163656768697273747576777879808182[J1 TOTAL],"&gt;"&amp;Twirling_Solo_Program28910111213141516171852535455565758606163656768697273747576777879808182[[#This Row],[J1 TOTAL]])+1</f>
        <v>2</v>
      </c>
      <c r="M3" s="19">
        <v>83.7</v>
      </c>
      <c r="N3" s="20">
        <v>2.5</v>
      </c>
      <c r="O3" s="21">
        <f>Twirling_Solo_Program28910111213141516171852535455565758606163656768697273747576777879808182[[#This Row],[Judge 2
Tihomir Bendelja]]-Twirling_Solo_Program28910111213141516171852535455565758606163656768697273747576777879808182[[#This Row],[J2 (-)]]</f>
        <v>81.2</v>
      </c>
      <c r="P3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Row],[Category]],Twirling_Solo_Program28910111213141516171852535455565758606163656768697273747576777879808182[J2 TOTAL],"&gt;"&amp;Twirling_Solo_Program28910111213141516171852535455565758606163656768697273747576777879808182[[#This Row],[J2 TOTAL]])+1</f>
        <v>2</v>
      </c>
      <c r="Q3" s="19">
        <v>74</v>
      </c>
      <c r="R3" s="20">
        <v>2.1</v>
      </c>
      <c r="S3" s="21">
        <f>Twirling_Solo_Program28910111213141516171852535455565758606163656768697273747576777879808182[[#This Row],[Judge 3
Barbara Novina]]-R3</f>
        <v>71.900000000000006</v>
      </c>
      <c r="T3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Row],[Category]],Twirling_Solo_Program28910111213141516171852535455565758606163656768697273747576777879808182[J3 TOTAL],"&gt;"&amp;Twirling_Solo_Program28910111213141516171852535455565758606163656768697273747576777879808182[[#This Row],[J3 TOTAL]])+1</f>
        <v>2</v>
      </c>
      <c r="U3" s="19">
        <v>93.2</v>
      </c>
      <c r="V3" s="20">
        <v>2</v>
      </c>
      <c r="W3" s="21">
        <f>Twirling_Solo_Program28910111213141516171852535455565758606163656768697273747576777879808182[[#This Row],[Judge 4
Bernard Barač]]-V3</f>
        <v>91.2</v>
      </c>
      <c r="X3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Row],[Category]],Twirling_Solo_Program28910111213141516171852535455565758606163656768697273747576777879808182[J4 TOTAL],"&gt;"&amp;Twirling_Solo_Program28910111213141516171852535455565758606163656768697273747576777879808182[[#This Row],[J4 TOTAL]])+1</f>
        <v>2</v>
      </c>
      <c r="Y3" s="23">
        <f>SUM(Twirling_Solo_Program28910111213141516171852535455565758606163656768697273747576777879808182[[#This Row],[J1 TOTAL]]+Twirling_Solo_Program28910111213141516171852535455565758606163656768697273747576777879808182[[#This Row],[J2 TOTAL]]+Twirling_Solo_Program28910111213141516171852535455565758606163656768697273747576777879808182[[#This Row],[J3 TOTAL]]+Twirling_Solo_Program28910111213141516171852535455565758606163656768697273747576777879808182[[#This Row],[J4 TOTAL]])</f>
        <v>331.6</v>
      </c>
      <c r="Z3" s="23">
        <f>MIN(Twirling_Solo_Program28910111213141516171852535455565758606163656768697273747576777879808182[[#This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f>
        <v>71.900000000000006</v>
      </c>
      <c r="AA3" s="23">
        <f>MAX(Twirling_Solo_Program28910111213141516171852535455565758606163656768697273747576777879808182[[#This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f>
        <v>91.2</v>
      </c>
      <c r="AB3" s="23">
        <f>SUM(Twirling_Solo_Program28910111213141516171852535455565758606163656768697273747576777879808182[[#This Row],[Total]]-Twirling_Solo_Program28910111213141516171852535455565758606163656768697273747576777879808182[[#This Row],[Low]]-Twirling_Solo_Program28910111213141516171852535455565758606163656768697273747576777879808182[[#This Row],[High]])</f>
        <v>168.50000000000006</v>
      </c>
      <c r="AC3" s="23">
        <f>AVERAGE(I3,M3,Q3,U3)</f>
        <v>85.05</v>
      </c>
      <c r="AD3" s="24">
        <f>Twirling_Solo_Program28910111213141516171852535455565758606163656768697273747576777879808182[[#This Row],[Final Total]]</f>
        <v>168.50000000000006</v>
      </c>
      <c r="AE3" s="25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Row],[Category]],Twirling_Solo_Program28910111213141516171852535455565758606163656768697273747576777879808182[FINAL SCORE],"&gt;"&amp;Twirling_Solo_Program28910111213141516171852535455565758606163656768697273747576777879808182[[#This Row],[FINAL SCORE]])+1</f>
        <v>2</v>
      </c>
      <c r="AF3" s="16" t="s">
        <v>26</v>
      </c>
    </row>
    <row r="4" spans="1:51" x14ac:dyDescent="0.3">
      <c r="A4" s="16">
        <v>154</v>
      </c>
      <c r="B4" s="17"/>
      <c r="C4" s="17" t="s">
        <v>191</v>
      </c>
      <c r="D4" s="17" t="s">
        <v>23</v>
      </c>
      <c r="E4" s="17" t="s">
        <v>94</v>
      </c>
      <c r="F4" s="17"/>
      <c r="G4" s="17" t="s">
        <v>52</v>
      </c>
      <c r="H4" s="18" t="s">
        <v>25</v>
      </c>
      <c r="I4" s="19">
        <v>61.8</v>
      </c>
      <c r="J4" s="20">
        <v>2</v>
      </c>
      <c r="K4" s="21">
        <f>Twirling_Solo_Program28910111213141516171852535455565758606163656768697273747576777879808182[[#This Row],[Judge 1
Tamara Beljak]]-J4</f>
        <v>59.8</v>
      </c>
      <c r="L4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Row],[Category]],Twirling_Solo_Program28910111213141516171852535455565758606163656768697273747576777879808182[J1 TOTAL],"&gt;"&amp;Twirling_Solo_Program28910111213141516171852535455565758606163656768697273747576777879808182[[#This Row],[J1 TOTAL]])+1</f>
        <v>3</v>
      </c>
      <c r="M4" s="19">
        <v>62.6</v>
      </c>
      <c r="N4" s="20">
        <v>2.2000000000000002</v>
      </c>
      <c r="O4" s="21">
        <f>Twirling_Solo_Program28910111213141516171852535455565758606163656768697273747576777879808182[[#This Row],[Judge 2
Tihomir Bendelja]]-Twirling_Solo_Program28910111213141516171852535455565758606163656768697273747576777879808182[[#This Row],[J2 (-)]]</f>
        <v>60.4</v>
      </c>
      <c r="P4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Row],[Category]],Twirling_Solo_Program28910111213141516171852535455565758606163656768697273747576777879808182[J2 TOTAL],"&gt;"&amp;Twirling_Solo_Program28910111213141516171852535455565758606163656768697273747576777879808182[[#This Row],[J2 TOTAL]])+1</f>
        <v>3</v>
      </c>
      <c r="Q4" s="19">
        <v>61.2</v>
      </c>
      <c r="R4" s="20">
        <v>2.1</v>
      </c>
      <c r="S4" s="21">
        <f>Twirling_Solo_Program28910111213141516171852535455565758606163656768697273747576777879808182[[#This Row],[Judge 3
Barbara Novina]]-R4</f>
        <v>59.1</v>
      </c>
      <c r="T4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Row],[Category]],Twirling_Solo_Program28910111213141516171852535455565758606163656768697273747576777879808182[J3 TOTAL],"&gt;"&amp;Twirling_Solo_Program28910111213141516171852535455565758606163656768697273747576777879808182[[#This Row],[J3 TOTAL]])+1</f>
        <v>3</v>
      </c>
      <c r="U4" s="19">
        <v>65.099999999999994</v>
      </c>
      <c r="V4" s="20">
        <v>2</v>
      </c>
      <c r="W4" s="21">
        <f>Twirling_Solo_Program28910111213141516171852535455565758606163656768697273747576777879808182[[#This Row],[Judge 4
Bernard Barač]]-V4</f>
        <v>63.099999999999994</v>
      </c>
      <c r="X4" s="22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Row],[Category]],Twirling_Solo_Program28910111213141516171852535455565758606163656768697273747576777879808182[J4 TOTAL],"&gt;"&amp;Twirling_Solo_Program28910111213141516171852535455565758606163656768697273747576777879808182[[#This Row],[J4 TOTAL]])+1</f>
        <v>3</v>
      </c>
      <c r="Y4" s="23">
        <f>SUM(Twirling_Solo_Program28910111213141516171852535455565758606163656768697273747576777879808182[[#This Row],[J1 TOTAL]]+Twirling_Solo_Program28910111213141516171852535455565758606163656768697273747576777879808182[[#This Row],[J2 TOTAL]]+Twirling_Solo_Program28910111213141516171852535455565758606163656768697273747576777879808182[[#This Row],[J3 TOTAL]]+Twirling_Solo_Program28910111213141516171852535455565758606163656768697273747576777879808182[[#This Row],[J4 TOTAL]])</f>
        <v>242.39999999999998</v>
      </c>
      <c r="Z4" s="23">
        <f>MIN(Twirling_Solo_Program28910111213141516171852535455565758606163656768697273747576777879808182[[#This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f>
        <v>59.1</v>
      </c>
      <c r="AA4" s="23">
        <f>MAX(Twirling_Solo_Program28910111213141516171852535455565758606163656768697273747576777879808182[[#This Row],[J1 TOTAL]],Twirling_Solo_Program28910111213141516171852535455565758606163656768697273747576777879808182[[#This Row],[J2 TOTAL]],Twirling_Solo_Program28910111213141516171852535455565758606163656768697273747576777879808182[[#This Row],[J3 TOTAL]],Twirling_Solo_Program28910111213141516171852535455565758606163656768697273747576777879808182[[#This Row],[J4 TOTAL]])</f>
        <v>63.099999999999994</v>
      </c>
      <c r="AB4" s="23">
        <f>SUM(Twirling_Solo_Program28910111213141516171852535455565758606163656768697273747576777879808182[[#This Row],[Total]]-Twirling_Solo_Program28910111213141516171852535455565758606163656768697273747576777879808182[[#This Row],[Low]]-Twirling_Solo_Program28910111213141516171852535455565758606163656768697273747576777879808182[[#This Row],[High]])</f>
        <v>120.19999999999999</v>
      </c>
      <c r="AC4" s="23">
        <f>AVERAGE(I4,M4,Q4,U4)</f>
        <v>62.675000000000004</v>
      </c>
      <c r="AD4" s="24">
        <f>Twirling_Solo_Program28910111213141516171852535455565758606163656768697273747576777879808182[[#This Row],[Final Total]]</f>
        <v>120.19999999999999</v>
      </c>
      <c r="AE4" s="25">
        <f>COUNTIFS(Twirling_Solo_Program28910111213141516171852535455565758606163656768697273747576777879808182[Age
Division],Twirling_Solo_Program28910111213141516171852535455565758606163656768697273747576777879808182[[#This Row],[Age
Division]],Twirling_Solo_Program28910111213141516171852535455565758606163656768697273747576777879808182[Category],Twirling_Solo_Program28910111213141516171852535455565758606163656768697273747576777879808182[[#This Row],[Category]],Twirling_Solo_Program28910111213141516171852535455565758606163656768697273747576777879808182[FINAL SCORE],"&gt;"&amp;Twirling_Solo_Program28910111213141516171852535455565758606163656768697273747576777879808182[[#This Row],[FINAL SCORE]])+1</f>
        <v>3</v>
      </c>
      <c r="AF4" s="16" t="s">
        <v>26</v>
      </c>
    </row>
  </sheetData>
  <sheetProtection algorithmName="SHA-512" hashValue="8Am0vAYWrHqSqAcCrGwqqcq6KTP7QDW0fMZqB+uyUz4SdUZvn3malqLFWh+wfQ2MBcdRrzMCngxEfBh7SnRmaA==" saltValue="oVYdaXVwOdhLEBIYuKK1c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Y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7.28515625" style="27" customWidth="1"/>
    <col min="4" max="4" width="9.5703125" style="28" customWidth="1"/>
    <col min="5" max="5" width="12.28515625" style="28" customWidth="1"/>
    <col min="6" max="6" width="26.140625" style="18" hidden="1" customWidth="1"/>
    <col min="7" max="7" width="43.28515625" style="18" bestFit="1" customWidth="1"/>
    <col min="8" max="8" width="9.7109375" style="18" bestFit="1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6.285156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158</v>
      </c>
      <c r="B2" s="17"/>
      <c r="C2" s="17" t="s">
        <v>191</v>
      </c>
      <c r="D2" s="17" t="s">
        <v>27</v>
      </c>
      <c r="E2" s="17" t="s">
        <v>94</v>
      </c>
      <c r="F2" s="17"/>
      <c r="G2" s="17" t="s">
        <v>56</v>
      </c>
      <c r="H2" s="18" t="s">
        <v>25</v>
      </c>
      <c r="I2" s="19">
        <v>86.9</v>
      </c>
      <c r="J2" s="20">
        <v>2.5</v>
      </c>
      <c r="K2" s="21">
        <f>Twirling_Solo_Program2891011121314151617185253545556575860616365676869727374757677787980818283[[#This Row],[Judge 1
Tamara Beljak]]-J2</f>
        <v>84.4</v>
      </c>
      <c r="L2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Row],[Category]],Twirling_Solo_Program2891011121314151617185253545556575860616365676869727374757677787980818283[J1 TOTAL],"&gt;"&amp;Twirling_Solo_Program2891011121314151617185253545556575860616365676869727374757677787980818283[[#This Row],[J1 TOTAL]])+1</f>
        <v>1</v>
      </c>
      <c r="M2" s="19">
        <v>87.3</v>
      </c>
      <c r="N2" s="20">
        <v>2.6</v>
      </c>
      <c r="O2" s="21">
        <f>Twirling_Solo_Program2891011121314151617185253545556575860616365676869727374757677787980818283[[#This Row],[Judge 2
Tihomir Bendelja]]-Twirling_Solo_Program2891011121314151617185253545556575860616365676869727374757677787980818283[[#This Row],[J2 (-)]]</f>
        <v>84.7</v>
      </c>
      <c r="P2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Row],[Category]],Twirling_Solo_Program2891011121314151617185253545556575860616365676869727374757677787980818283[J2 TOTAL],"&gt;"&amp;Twirling_Solo_Program2891011121314151617185253545556575860616365676869727374757677787980818283[[#This Row],[J2 TOTAL]])+1</f>
        <v>1</v>
      </c>
      <c r="Q2" s="19">
        <v>85.1</v>
      </c>
      <c r="R2" s="20">
        <v>2.6</v>
      </c>
      <c r="S2" s="21">
        <f>Twirling_Solo_Program2891011121314151617185253545556575860616365676869727374757677787980818283[[#This Row],[Judge 3
Barbara Novina]]-R2</f>
        <v>82.5</v>
      </c>
      <c r="T2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Row],[Category]],Twirling_Solo_Program2891011121314151617185253545556575860616365676869727374757677787980818283[J3 TOTAL],"&gt;"&amp;Twirling_Solo_Program2891011121314151617185253545556575860616365676869727374757677787980818283[[#This Row],[J3 TOTAL]])+1</f>
        <v>1</v>
      </c>
      <c r="U2" s="19">
        <v>86.8</v>
      </c>
      <c r="V2" s="20">
        <v>2.5</v>
      </c>
      <c r="W2" s="21">
        <f>Twirling_Solo_Program2891011121314151617185253545556575860616365676869727374757677787980818283[[#This Row],[Judge 4
Bernard Barač]]-V2</f>
        <v>84.3</v>
      </c>
      <c r="X2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Row],[Category]],Twirling_Solo_Program2891011121314151617185253545556575860616365676869727374757677787980818283[J4 TOTAL],"&gt;"&amp;Twirling_Solo_Program2891011121314151617185253545556575860616365676869727374757677787980818283[[#This Row],[J4 TOTAL]])+1</f>
        <v>1</v>
      </c>
      <c r="Y2" s="23">
        <f>SUM(Twirling_Solo_Program2891011121314151617185253545556575860616365676869727374757677787980818283[[#This Row],[J1 TOTAL]]+Twirling_Solo_Program2891011121314151617185253545556575860616365676869727374757677787980818283[[#This Row],[J2 TOTAL]]+Twirling_Solo_Program2891011121314151617185253545556575860616365676869727374757677787980818283[[#This Row],[J3 TOTAL]]+Twirling_Solo_Program2891011121314151617185253545556575860616365676869727374757677787980818283[[#This Row],[J4 TOTAL]])</f>
        <v>335.90000000000003</v>
      </c>
      <c r="Z2" s="23">
        <f>MIN(Twirling_Solo_Program2891011121314151617185253545556575860616365676869727374757677787980818283[[#This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82.5</v>
      </c>
      <c r="AA2" s="23">
        <f>MAX(Twirling_Solo_Program2891011121314151617185253545556575860616365676869727374757677787980818283[[#This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84.7</v>
      </c>
      <c r="AB2" s="23">
        <f>SUM(Twirling_Solo_Program2891011121314151617185253545556575860616365676869727374757677787980818283[[#This Row],[Total]]-Twirling_Solo_Program2891011121314151617185253545556575860616365676869727374757677787980818283[[#This Row],[Low]]-Twirling_Solo_Program2891011121314151617185253545556575860616365676869727374757677787980818283[[#This Row],[High]])</f>
        <v>168.70000000000005</v>
      </c>
      <c r="AC2" s="23">
        <f t="shared" ref="AC2:AC7" si="0">AVERAGE(I2,M2,Q2,U2)</f>
        <v>86.524999999999991</v>
      </c>
      <c r="AD2" s="24">
        <f>Twirling_Solo_Program2891011121314151617185253545556575860616365676869727374757677787980818283[[#This Row],[Final Total]]</f>
        <v>168.70000000000005</v>
      </c>
      <c r="AE2" s="25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Row],[Category]],Twirling_Solo_Program2891011121314151617185253545556575860616365676869727374757677787980818283[FINAL SCORE],"&gt;"&amp;Twirling_Solo_Program2891011121314151617185253545556575860616365676869727374757677787980818283[[#This Row],[FINAL SCORE]])+1</f>
        <v>1</v>
      </c>
      <c r="AF2" s="16" t="s">
        <v>26</v>
      </c>
    </row>
    <row r="3" spans="1:51" x14ac:dyDescent="0.3">
      <c r="A3" s="16">
        <v>159</v>
      </c>
      <c r="B3" s="17"/>
      <c r="C3" s="17" t="s">
        <v>191</v>
      </c>
      <c r="D3" s="17" t="s">
        <v>27</v>
      </c>
      <c r="E3" s="17" t="s">
        <v>94</v>
      </c>
      <c r="F3" s="17"/>
      <c r="G3" s="17" t="s">
        <v>58</v>
      </c>
      <c r="H3" s="18" t="s">
        <v>25</v>
      </c>
      <c r="I3" s="19">
        <v>83.3</v>
      </c>
      <c r="J3" s="20">
        <v>0.5</v>
      </c>
      <c r="K3" s="21">
        <f>Twirling_Solo_Program2891011121314151617185253545556575860616365676869727374757677787980818283[[#This Row],[Judge 1
Tamara Beljak]]-J3</f>
        <v>82.8</v>
      </c>
      <c r="L3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Row],[Category]],Twirling_Solo_Program2891011121314151617185253545556575860616365676869727374757677787980818283[J1 TOTAL],"&gt;"&amp;Twirling_Solo_Program2891011121314151617185253545556575860616365676869727374757677787980818283[[#This Row],[J1 TOTAL]])+1</f>
        <v>2</v>
      </c>
      <c r="M3" s="19">
        <v>81</v>
      </c>
      <c r="N3" s="20">
        <v>0.6</v>
      </c>
      <c r="O3" s="21">
        <f>Twirling_Solo_Program2891011121314151617185253545556575860616365676869727374757677787980818283[[#This Row],[Judge 2
Tihomir Bendelja]]-Twirling_Solo_Program2891011121314151617185253545556575860616365676869727374757677787980818283[[#This Row],[J2 (-)]]</f>
        <v>80.400000000000006</v>
      </c>
      <c r="P3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Row],[Category]],Twirling_Solo_Program2891011121314151617185253545556575860616365676869727374757677787980818283[J2 TOTAL],"&gt;"&amp;Twirling_Solo_Program2891011121314151617185253545556575860616365676869727374757677787980818283[[#This Row],[J2 TOTAL]])+1</f>
        <v>2</v>
      </c>
      <c r="Q3" s="19">
        <v>79.5</v>
      </c>
      <c r="R3" s="20">
        <v>0.6</v>
      </c>
      <c r="S3" s="21">
        <f>Twirling_Solo_Program2891011121314151617185253545556575860616365676869727374757677787980818283[[#This Row],[Judge 3
Barbara Novina]]-R3</f>
        <v>78.900000000000006</v>
      </c>
      <c r="T3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Row],[Category]],Twirling_Solo_Program2891011121314151617185253545556575860616365676869727374757677787980818283[J3 TOTAL],"&gt;"&amp;Twirling_Solo_Program2891011121314151617185253545556575860616365676869727374757677787980818283[[#This Row],[J3 TOTAL]])+1</f>
        <v>2</v>
      </c>
      <c r="U3" s="19">
        <v>84.7</v>
      </c>
      <c r="V3" s="20">
        <v>0.5</v>
      </c>
      <c r="W3" s="21">
        <f>Twirling_Solo_Program2891011121314151617185253545556575860616365676869727374757677787980818283[[#This Row],[Judge 4
Bernard Barač]]-V3</f>
        <v>84.2</v>
      </c>
      <c r="X3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Row],[Category]],Twirling_Solo_Program2891011121314151617185253545556575860616365676869727374757677787980818283[J4 TOTAL],"&gt;"&amp;Twirling_Solo_Program2891011121314151617185253545556575860616365676869727374757677787980818283[[#This Row],[J4 TOTAL]])+1</f>
        <v>2</v>
      </c>
      <c r="Y3" s="23">
        <f>SUM(Twirling_Solo_Program2891011121314151617185253545556575860616365676869727374757677787980818283[[#This Row],[J1 TOTAL]]+Twirling_Solo_Program2891011121314151617185253545556575860616365676869727374757677787980818283[[#This Row],[J2 TOTAL]]+Twirling_Solo_Program2891011121314151617185253545556575860616365676869727374757677787980818283[[#This Row],[J3 TOTAL]]+Twirling_Solo_Program2891011121314151617185253545556575860616365676869727374757677787980818283[[#This Row],[J4 TOTAL]])</f>
        <v>326.3</v>
      </c>
      <c r="Z3" s="23">
        <f>MIN(Twirling_Solo_Program2891011121314151617185253545556575860616365676869727374757677787980818283[[#This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78.900000000000006</v>
      </c>
      <c r="AA3" s="23">
        <f>MAX(Twirling_Solo_Program2891011121314151617185253545556575860616365676869727374757677787980818283[[#This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84.2</v>
      </c>
      <c r="AB3" s="23">
        <f>SUM(Twirling_Solo_Program2891011121314151617185253545556575860616365676869727374757677787980818283[[#This Row],[Total]]-Twirling_Solo_Program2891011121314151617185253545556575860616365676869727374757677787980818283[[#This Row],[Low]]-Twirling_Solo_Program2891011121314151617185253545556575860616365676869727374757677787980818283[[#This Row],[High]])</f>
        <v>163.19999999999999</v>
      </c>
      <c r="AC3" s="23">
        <f t="shared" si="0"/>
        <v>82.125</v>
      </c>
      <c r="AD3" s="24">
        <f>Twirling_Solo_Program2891011121314151617185253545556575860616365676869727374757677787980818283[[#This Row],[Final Total]]</f>
        <v>163.19999999999999</v>
      </c>
      <c r="AE3" s="25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Row],[Category]],Twirling_Solo_Program2891011121314151617185253545556575860616365676869727374757677787980818283[FINAL SCORE],"&gt;"&amp;Twirling_Solo_Program2891011121314151617185253545556575860616365676869727374757677787980818283[[#This Row],[FINAL SCORE]])+1</f>
        <v>2</v>
      </c>
      <c r="AF3" s="16" t="s">
        <v>26</v>
      </c>
    </row>
    <row r="4" spans="1:51" x14ac:dyDescent="0.3">
      <c r="A4" s="16">
        <v>160</v>
      </c>
      <c r="B4" s="17"/>
      <c r="C4" s="17" t="s">
        <v>191</v>
      </c>
      <c r="D4" s="17" t="s">
        <v>27</v>
      </c>
      <c r="E4" s="17" t="s">
        <v>94</v>
      </c>
      <c r="F4" s="17"/>
      <c r="G4" s="17" t="s">
        <v>52</v>
      </c>
      <c r="H4" s="18" t="s">
        <v>25</v>
      </c>
      <c r="I4" s="19">
        <v>71.599999999999994</v>
      </c>
      <c r="J4" s="20">
        <v>3</v>
      </c>
      <c r="K4" s="21">
        <f>Twirling_Solo_Program2891011121314151617185253545556575860616365676869727374757677787980818283[[#This Row],[Judge 1
Tamara Beljak]]-J4</f>
        <v>68.599999999999994</v>
      </c>
      <c r="L4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Row],[Category]],Twirling_Solo_Program2891011121314151617185253545556575860616365676869727374757677787980818283[J1 TOTAL],"&gt;"&amp;Twirling_Solo_Program2891011121314151617185253545556575860616365676869727374757677787980818283[[#This Row],[J1 TOTAL]])+1</f>
        <v>3</v>
      </c>
      <c r="M4" s="19">
        <v>70.7</v>
      </c>
      <c r="N4" s="20">
        <v>3.5</v>
      </c>
      <c r="O4" s="21">
        <f>Twirling_Solo_Program2891011121314151617185253545556575860616365676869727374757677787980818283[[#This Row],[Judge 2
Tihomir Bendelja]]-Twirling_Solo_Program2891011121314151617185253545556575860616365676869727374757677787980818283[[#This Row],[J2 (-)]]</f>
        <v>67.2</v>
      </c>
      <c r="P4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Row],[Category]],Twirling_Solo_Program2891011121314151617185253545556575860616365676869727374757677787980818283[J2 TOTAL],"&gt;"&amp;Twirling_Solo_Program2891011121314151617185253545556575860616365676869727374757677787980818283[[#This Row],[J2 TOTAL]])+1</f>
        <v>3</v>
      </c>
      <c r="Q4" s="19">
        <v>67.8</v>
      </c>
      <c r="R4" s="20">
        <v>3.1</v>
      </c>
      <c r="S4" s="21">
        <f>Twirling_Solo_Program2891011121314151617185253545556575860616365676869727374757677787980818283[[#This Row],[Judge 3
Barbara Novina]]-R4</f>
        <v>64.7</v>
      </c>
      <c r="T4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Row],[Category]],Twirling_Solo_Program2891011121314151617185253545556575860616365676869727374757677787980818283[J3 TOTAL],"&gt;"&amp;Twirling_Solo_Program2891011121314151617185253545556575860616365676869727374757677787980818283[[#This Row],[J3 TOTAL]])+1</f>
        <v>5</v>
      </c>
      <c r="U4" s="19">
        <v>71.400000000000006</v>
      </c>
      <c r="V4" s="20">
        <v>3.1</v>
      </c>
      <c r="W4" s="21">
        <f>Twirling_Solo_Program2891011121314151617185253545556575860616365676869727374757677787980818283[[#This Row],[Judge 4
Bernard Barač]]-V4</f>
        <v>68.300000000000011</v>
      </c>
      <c r="X4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Row],[Category]],Twirling_Solo_Program2891011121314151617185253545556575860616365676869727374757677787980818283[J4 TOTAL],"&gt;"&amp;Twirling_Solo_Program2891011121314151617185253545556575860616365676869727374757677787980818283[[#This Row],[J4 TOTAL]])+1</f>
        <v>3</v>
      </c>
      <c r="Y4" s="23">
        <f>SUM(Twirling_Solo_Program2891011121314151617185253545556575860616365676869727374757677787980818283[[#This Row],[J1 TOTAL]]+Twirling_Solo_Program2891011121314151617185253545556575860616365676869727374757677787980818283[[#This Row],[J2 TOTAL]]+Twirling_Solo_Program2891011121314151617185253545556575860616365676869727374757677787980818283[[#This Row],[J3 TOTAL]]+Twirling_Solo_Program2891011121314151617185253545556575860616365676869727374757677787980818283[[#This Row],[J4 TOTAL]])</f>
        <v>268.8</v>
      </c>
      <c r="Z4" s="23">
        <f>MIN(Twirling_Solo_Program2891011121314151617185253545556575860616365676869727374757677787980818283[[#This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64.7</v>
      </c>
      <c r="AA4" s="23">
        <f>MAX(Twirling_Solo_Program2891011121314151617185253545556575860616365676869727374757677787980818283[[#This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68.599999999999994</v>
      </c>
      <c r="AB4" s="23">
        <f>SUM(Twirling_Solo_Program2891011121314151617185253545556575860616365676869727374757677787980818283[[#This Row],[Total]]-Twirling_Solo_Program2891011121314151617185253545556575860616365676869727374757677787980818283[[#This Row],[Low]]-Twirling_Solo_Program2891011121314151617185253545556575860616365676869727374757677787980818283[[#This Row],[High]])</f>
        <v>135.50000000000003</v>
      </c>
      <c r="AC4" s="23">
        <f t="shared" si="0"/>
        <v>70.375</v>
      </c>
      <c r="AD4" s="24">
        <f>Twirling_Solo_Program2891011121314151617185253545556575860616365676869727374757677787980818283[[#This Row],[Final Total]]</f>
        <v>135.50000000000003</v>
      </c>
      <c r="AE4" s="25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Row],[Category]],Twirling_Solo_Program2891011121314151617185253545556575860616365676869727374757677787980818283[FINAL SCORE],"&gt;"&amp;Twirling_Solo_Program2891011121314151617185253545556575860616365676869727374757677787980818283[[#This Row],[FINAL SCORE]])+1</f>
        <v>3</v>
      </c>
      <c r="AF4" s="16" t="s">
        <v>26</v>
      </c>
    </row>
    <row r="5" spans="1:51" x14ac:dyDescent="0.3">
      <c r="A5" s="16">
        <v>155</v>
      </c>
      <c r="B5" s="17"/>
      <c r="C5" s="17" t="s">
        <v>191</v>
      </c>
      <c r="D5" s="17" t="s">
        <v>27</v>
      </c>
      <c r="E5" s="17" t="s">
        <v>94</v>
      </c>
      <c r="F5" s="17"/>
      <c r="G5" s="17" t="s">
        <v>32</v>
      </c>
      <c r="H5" s="18" t="s">
        <v>25</v>
      </c>
      <c r="I5" s="19">
        <v>69.8</v>
      </c>
      <c r="J5" s="20">
        <v>6</v>
      </c>
      <c r="K5" s="21">
        <f>Twirling_Solo_Program2891011121314151617185253545556575860616365676869727374757677787980818283[[#This Row],[Judge 1
Tamara Beljak]]-J5</f>
        <v>63.8</v>
      </c>
      <c r="L5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Row],[Category]],Twirling_Solo_Program2891011121314151617185253545556575860616365676869727374757677787980818283[J1 TOTAL],"&gt;"&amp;Twirling_Solo_Program2891011121314151617185253545556575860616365676869727374757677787980818283[[#This Row],[J1 TOTAL]])+1</f>
        <v>4</v>
      </c>
      <c r="M5" s="19">
        <v>71.5</v>
      </c>
      <c r="N5" s="20">
        <v>5.9</v>
      </c>
      <c r="O5" s="21">
        <f>Twirling_Solo_Program2891011121314151617185253545556575860616365676869727374757677787980818283[[#This Row],[Judge 2
Tihomir Bendelja]]-Twirling_Solo_Program2891011121314151617185253545556575860616365676869727374757677787980818283[[#This Row],[J2 (-)]]</f>
        <v>65.599999999999994</v>
      </c>
      <c r="P5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Row],[Category]],Twirling_Solo_Program2891011121314151617185253545556575860616365676869727374757677787980818283[J2 TOTAL],"&gt;"&amp;Twirling_Solo_Program2891011121314151617185253545556575860616365676869727374757677787980818283[[#This Row],[J2 TOTAL]])+1</f>
        <v>4</v>
      </c>
      <c r="Q5" s="19">
        <v>71.400000000000006</v>
      </c>
      <c r="R5" s="20">
        <v>6</v>
      </c>
      <c r="S5" s="21">
        <f>Twirling_Solo_Program2891011121314151617185253545556575860616365676869727374757677787980818283[[#This Row],[Judge 3
Barbara Novina]]-R5</f>
        <v>65.400000000000006</v>
      </c>
      <c r="T5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Row],[Category]],Twirling_Solo_Program2891011121314151617185253545556575860616365676869727374757677787980818283[J3 TOTAL],"&gt;"&amp;Twirling_Solo_Program2891011121314151617185253545556575860616365676869727374757677787980818283[[#This Row],[J3 TOTAL]])+1</f>
        <v>3</v>
      </c>
      <c r="U5" s="19">
        <v>71.2</v>
      </c>
      <c r="V5" s="20">
        <v>6.1</v>
      </c>
      <c r="W5" s="21">
        <f>Twirling_Solo_Program2891011121314151617185253545556575860616365676869727374757677787980818283[[#This Row],[Judge 4
Bernard Barač]]-V5</f>
        <v>65.100000000000009</v>
      </c>
      <c r="X5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Row],[Category]],Twirling_Solo_Program2891011121314151617185253545556575860616365676869727374757677787980818283[J4 TOTAL],"&gt;"&amp;Twirling_Solo_Program2891011121314151617185253545556575860616365676869727374757677787980818283[[#This Row],[J4 TOTAL]])+1</f>
        <v>4</v>
      </c>
      <c r="Y5" s="23">
        <f>SUM(Twirling_Solo_Program2891011121314151617185253545556575860616365676869727374757677787980818283[[#This Row],[J1 TOTAL]]+Twirling_Solo_Program2891011121314151617185253545556575860616365676869727374757677787980818283[[#This Row],[J2 TOTAL]]+Twirling_Solo_Program2891011121314151617185253545556575860616365676869727374757677787980818283[[#This Row],[J3 TOTAL]]+Twirling_Solo_Program2891011121314151617185253545556575860616365676869727374757677787980818283[[#This Row],[J4 TOTAL]])</f>
        <v>259.89999999999998</v>
      </c>
      <c r="Z5" s="23">
        <f>MIN(Twirling_Solo_Program2891011121314151617185253545556575860616365676869727374757677787980818283[[#This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63.8</v>
      </c>
      <c r="AA5" s="23">
        <f>MAX(Twirling_Solo_Program2891011121314151617185253545556575860616365676869727374757677787980818283[[#This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65.599999999999994</v>
      </c>
      <c r="AB5" s="23">
        <f>SUM(Twirling_Solo_Program2891011121314151617185253545556575860616365676869727374757677787980818283[[#This Row],[Total]]-Twirling_Solo_Program2891011121314151617185253545556575860616365676869727374757677787980818283[[#This Row],[Low]]-Twirling_Solo_Program2891011121314151617185253545556575860616365676869727374757677787980818283[[#This Row],[High]])</f>
        <v>130.49999999999997</v>
      </c>
      <c r="AC5" s="23">
        <f t="shared" si="0"/>
        <v>70.975000000000009</v>
      </c>
      <c r="AD5" s="24">
        <f>Twirling_Solo_Program2891011121314151617185253545556575860616365676869727374757677787980818283[[#This Row],[Final Total]]</f>
        <v>130.49999999999997</v>
      </c>
      <c r="AE5" s="25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Row],[Category]],Twirling_Solo_Program2891011121314151617185253545556575860616365676869727374757677787980818283[FINAL SCORE],"&gt;"&amp;Twirling_Solo_Program2891011121314151617185253545556575860616365676869727374757677787980818283[[#This Row],[FINAL SCORE]])+1</f>
        <v>4</v>
      </c>
      <c r="AF5" s="16" t="s">
        <v>26</v>
      </c>
    </row>
    <row r="6" spans="1:51" x14ac:dyDescent="0.3">
      <c r="A6" s="16">
        <v>157</v>
      </c>
      <c r="B6" s="17"/>
      <c r="C6" s="17" t="s">
        <v>191</v>
      </c>
      <c r="D6" s="17" t="s">
        <v>27</v>
      </c>
      <c r="E6" s="17" t="s">
        <v>94</v>
      </c>
      <c r="F6" s="17"/>
      <c r="G6" s="17" t="s">
        <v>88</v>
      </c>
      <c r="H6" s="18" t="s">
        <v>28</v>
      </c>
      <c r="I6" s="19">
        <v>68</v>
      </c>
      <c r="J6" s="20">
        <v>5.5</v>
      </c>
      <c r="K6" s="21">
        <f>Twirling_Solo_Program2891011121314151617185253545556575860616365676869727374757677787980818283[[#This Row],[Judge 1
Tamara Beljak]]-J6</f>
        <v>62.5</v>
      </c>
      <c r="L6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Row],[Category]],Twirling_Solo_Program2891011121314151617185253545556575860616365676869727374757677787980818283[J1 TOTAL],"&gt;"&amp;Twirling_Solo_Program2891011121314151617185253545556575860616365676869727374757677787980818283[[#This Row],[J1 TOTAL]])+1</f>
        <v>5</v>
      </c>
      <c r="M6" s="19">
        <v>70.5</v>
      </c>
      <c r="N6" s="20">
        <v>6.1</v>
      </c>
      <c r="O6" s="21">
        <f>Twirling_Solo_Program2891011121314151617185253545556575860616365676869727374757677787980818283[[#This Row],[Judge 2
Tihomir Bendelja]]-Twirling_Solo_Program2891011121314151617185253545556575860616365676869727374757677787980818283[[#This Row],[J2 (-)]]</f>
        <v>64.400000000000006</v>
      </c>
      <c r="P6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Row],[Category]],Twirling_Solo_Program2891011121314151617185253545556575860616365676869727374757677787980818283[J2 TOTAL],"&gt;"&amp;Twirling_Solo_Program2891011121314151617185253545556575860616365676869727374757677787980818283[[#This Row],[J2 TOTAL]])+1</f>
        <v>5</v>
      </c>
      <c r="Q6" s="19">
        <v>70.8</v>
      </c>
      <c r="R6" s="20">
        <v>5.5</v>
      </c>
      <c r="S6" s="21">
        <f>Twirling_Solo_Program2891011121314151617185253545556575860616365676869727374757677787980818283[[#This Row],[Judge 3
Barbara Novina]]-R6</f>
        <v>65.3</v>
      </c>
      <c r="T6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Row],[Category]],Twirling_Solo_Program2891011121314151617185253545556575860616365676869727374757677787980818283[J3 TOTAL],"&gt;"&amp;Twirling_Solo_Program2891011121314151617185253545556575860616365676869727374757677787980818283[[#This Row],[J3 TOTAL]])+1</f>
        <v>4</v>
      </c>
      <c r="U6" s="19">
        <v>70.3</v>
      </c>
      <c r="V6" s="20">
        <v>5.6</v>
      </c>
      <c r="W6" s="21">
        <f>Twirling_Solo_Program2891011121314151617185253545556575860616365676869727374757677787980818283[[#This Row],[Judge 4
Bernard Barač]]-V6</f>
        <v>64.7</v>
      </c>
      <c r="X6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Row],[Category]],Twirling_Solo_Program2891011121314151617185253545556575860616365676869727374757677787980818283[J4 TOTAL],"&gt;"&amp;Twirling_Solo_Program2891011121314151617185253545556575860616365676869727374757677787980818283[[#This Row],[J4 TOTAL]])+1</f>
        <v>5</v>
      </c>
      <c r="Y6" s="23">
        <f>SUM(Twirling_Solo_Program2891011121314151617185253545556575860616365676869727374757677787980818283[[#This Row],[J1 TOTAL]]+Twirling_Solo_Program2891011121314151617185253545556575860616365676869727374757677787980818283[[#This Row],[J2 TOTAL]]+Twirling_Solo_Program2891011121314151617185253545556575860616365676869727374757677787980818283[[#This Row],[J3 TOTAL]]+Twirling_Solo_Program2891011121314151617185253545556575860616365676869727374757677787980818283[[#This Row],[J4 TOTAL]])</f>
        <v>256.89999999999998</v>
      </c>
      <c r="Z6" s="23">
        <f>MIN(Twirling_Solo_Program2891011121314151617185253545556575860616365676869727374757677787980818283[[#This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62.5</v>
      </c>
      <c r="AA6" s="23">
        <f>MAX(Twirling_Solo_Program2891011121314151617185253545556575860616365676869727374757677787980818283[[#This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65.3</v>
      </c>
      <c r="AB6" s="23">
        <f>SUM(Twirling_Solo_Program2891011121314151617185253545556575860616365676869727374757677787980818283[[#This Row],[Total]]-Twirling_Solo_Program2891011121314151617185253545556575860616365676869727374757677787980818283[[#This Row],[Low]]-Twirling_Solo_Program2891011121314151617185253545556575860616365676869727374757677787980818283[[#This Row],[High]])</f>
        <v>129.09999999999997</v>
      </c>
      <c r="AC6" s="23">
        <f t="shared" si="0"/>
        <v>69.900000000000006</v>
      </c>
      <c r="AD6" s="24">
        <f>Twirling_Solo_Program2891011121314151617185253545556575860616365676869727374757677787980818283[[#This Row],[Final Total]]</f>
        <v>129.09999999999997</v>
      </c>
      <c r="AE6" s="25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Row],[Category]],Twirling_Solo_Program2891011121314151617185253545556575860616365676869727374757677787980818283[FINAL SCORE],"&gt;"&amp;Twirling_Solo_Program2891011121314151617185253545556575860616365676869727374757677787980818283[[#This Row],[FINAL SCORE]])+1</f>
        <v>5</v>
      </c>
      <c r="AF6" s="16" t="s">
        <v>26</v>
      </c>
    </row>
    <row r="7" spans="1:51" x14ac:dyDescent="0.3">
      <c r="A7" s="16">
        <v>156</v>
      </c>
      <c r="B7" s="17"/>
      <c r="C7" s="17" t="s">
        <v>191</v>
      </c>
      <c r="D7" s="17" t="s">
        <v>27</v>
      </c>
      <c r="E7" s="17" t="s">
        <v>94</v>
      </c>
      <c r="F7" s="17"/>
      <c r="G7" s="17" t="s">
        <v>31</v>
      </c>
      <c r="H7" s="18" t="s">
        <v>25</v>
      </c>
      <c r="I7" s="19">
        <v>63.7</v>
      </c>
      <c r="J7" s="20">
        <v>1.5</v>
      </c>
      <c r="K7" s="21">
        <f>Twirling_Solo_Program2891011121314151617185253545556575860616365676869727374757677787980818283[[#This Row],[Judge 1
Tamara Beljak]]-J7</f>
        <v>62.2</v>
      </c>
      <c r="L7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Row],[Category]],Twirling_Solo_Program2891011121314151617185253545556575860616365676869727374757677787980818283[J1 TOTAL],"&gt;"&amp;Twirling_Solo_Program2891011121314151617185253545556575860616365676869727374757677787980818283[[#This Row],[J1 TOTAL]])+1</f>
        <v>6</v>
      </c>
      <c r="M7" s="19">
        <v>62.1</v>
      </c>
      <c r="N7" s="20">
        <v>1.8</v>
      </c>
      <c r="O7" s="21">
        <f>Twirling_Solo_Program2891011121314151617185253545556575860616365676869727374757677787980818283[[#This Row],[Judge 2
Tihomir Bendelja]]-Twirling_Solo_Program2891011121314151617185253545556575860616365676869727374757677787980818283[[#This Row],[J2 (-)]]</f>
        <v>60.300000000000004</v>
      </c>
      <c r="P7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Row],[Category]],Twirling_Solo_Program2891011121314151617185253545556575860616365676869727374757677787980818283[J2 TOTAL],"&gt;"&amp;Twirling_Solo_Program2891011121314151617185253545556575860616365676869727374757677787980818283[[#This Row],[J2 TOTAL]])+1</f>
        <v>6</v>
      </c>
      <c r="Q7" s="19">
        <v>61.9</v>
      </c>
      <c r="R7" s="20">
        <v>1.6</v>
      </c>
      <c r="S7" s="21">
        <f>Twirling_Solo_Program2891011121314151617185253545556575860616365676869727374757677787980818283[[#This Row],[Judge 3
Barbara Novina]]-R7</f>
        <v>60.3</v>
      </c>
      <c r="T7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Row],[Category]],Twirling_Solo_Program2891011121314151617185253545556575860616365676869727374757677787980818283[J3 TOTAL],"&gt;"&amp;Twirling_Solo_Program2891011121314151617185253545556575860616365676869727374757677787980818283[[#This Row],[J3 TOTAL]])+1</f>
        <v>6</v>
      </c>
      <c r="U7" s="19">
        <v>61.4</v>
      </c>
      <c r="V7" s="20">
        <v>1.6</v>
      </c>
      <c r="W7" s="21">
        <f>Twirling_Solo_Program2891011121314151617185253545556575860616365676869727374757677787980818283[[#This Row],[Judge 4
Bernard Barač]]-V7</f>
        <v>59.8</v>
      </c>
      <c r="X7" s="22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Row],[Category]],Twirling_Solo_Program2891011121314151617185253545556575860616365676869727374757677787980818283[J4 TOTAL],"&gt;"&amp;Twirling_Solo_Program2891011121314151617185253545556575860616365676869727374757677787980818283[[#This Row],[J4 TOTAL]])+1</f>
        <v>6</v>
      </c>
      <c r="Y7" s="23">
        <f>SUM(Twirling_Solo_Program2891011121314151617185253545556575860616365676869727374757677787980818283[[#This Row],[J1 TOTAL]]+Twirling_Solo_Program2891011121314151617185253545556575860616365676869727374757677787980818283[[#This Row],[J2 TOTAL]]+Twirling_Solo_Program2891011121314151617185253545556575860616365676869727374757677787980818283[[#This Row],[J3 TOTAL]]+Twirling_Solo_Program2891011121314151617185253545556575860616365676869727374757677787980818283[[#This Row],[J4 TOTAL]])</f>
        <v>242.60000000000002</v>
      </c>
      <c r="Z7" s="23">
        <f>MIN(Twirling_Solo_Program2891011121314151617185253545556575860616365676869727374757677787980818283[[#This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59.8</v>
      </c>
      <c r="AA7" s="23">
        <f>MAX(Twirling_Solo_Program2891011121314151617185253545556575860616365676869727374757677787980818283[[#This Row],[J1 TOTAL]],Twirling_Solo_Program2891011121314151617185253545556575860616365676869727374757677787980818283[[#This Row],[J2 TOTAL]],Twirling_Solo_Program2891011121314151617185253545556575860616365676869727374757677787980818283[[#This Row],[J3 TOTAL]],Twirling_Solo_Program2891011121314151617185253545556575860616365676869727374757677787980818283[[#This Row],[J4 TOTAL]])</f>
        <v>62.2</v>
      </c>
      <c r="AB7" s="23">
        <f>SUM(Twirling_Solo_Program2891011121314151617185253545556575860616365676869727374757677787980818283[[#This Row],[Total]]-Twirling_Solo_Program2891011121314151617185253545556575860616365676869727374757677787980818283[[#This Row],[Low]]-Twirling_Solo_Program2891011121314151617185253545556575860616365676869727374757677787980818283[[#This Row],[High]])</f>
        <v>120.60000000000001</v>
      </c>
      <c r="AC7" s="23">
        <f t="shared" si="0"/>
        <v>62.275000000000006</v>
      </c>
      <c r="AD7" s="24">
        <f>Twirling_Solo_Program2891011121314151617185253545556575860616365676869727374757677787980818283[[#This Row],[Final Total]]</f>
        <v>120.60000000000001</v>
      </c>
      <c r="AE7" s="25">
        <f>COUNTIFS(Twirling_Solo_Program2891011121314151617185253545556575860616365676869727374757677787980818283[Age
Division],Twirling_Solo_Program2891011121314151617185253545556575860616365676869727374757677787980818283[[#This Row],[Age
Division]],Twirling_Solo_Program2891011121314151617185253545556575860616365676869727374757677787980818283[Category],Twirling_Solo_Program2891011121314151617185253545556575860616365676869727374757677787980818283[[#This Row],[Category]],Twirling_Solo_Program2891011121314151617185253545556575860616365676869727374757677787980818283[FINAL SCORE],"&gt;"&amp;Twirling_Solo_Program2891011121314151617185253545556575860616365676869727374757677787980818283[[#This Row],[FINAL SCORE]])+1</f>
        <v>6</v>
      </c>
      <c r="AF7" s="16" t="s">
        <v>26</v>
      </c>
    </row>
  </sheetData>
  <sheetProtection algorithmName="SHA-512" hashValue="KAJmGbAqNlEvFt2ELEPAbg+9O/pUoAWl1fm4I7d5yEWzFIA+5Vz7E6H4oSOOBpYmz8QUHh5SBt4DEpdE5zcjqw==" saltValue="CAX7xJFnvCb07B+JiQ/xmQ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3.7109375" style="27" customWidth="1"/>
    <col min="4" max="4" width="9.42578125" style="28" customWidth="1"/>
    <col min="5" max="5" width="12.42578125" style="28" customWidth="1"/>
    <col min="6" max="6" width="26.140625" style="18" hidden="1" customWidth="1"/>
    <col min="7" max="7" width="41.42578125" style="18" customWidth="1"/>
    <col min="8" max="8" width="10.42578125" style="18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161</v>
      </c>
      <c r="B2" s="17"/>
      <c r="C2" s="17" t="s">
        <v>191</v>
      </c>
      <c r="D2" s="17" t="s">
        <v>29</v>
      </c>
      <c r="E2" s="17" t="s">
        <v>94</v>
      </c>
      <c r="F2" s="17"/>
      <c r="G2" s="17" t="s">
        <v>33</v>
      </c>
      <c r="H2" s="18" t="s">
        <v>28</v>
      </c>
      <c r="I2" s="19">
        <v>64.900000000000006</v>
      </c>
      <c r="J2" s="20">
        <v>6</v>
      </c>
      <c r="K2" s="21">
        <f>Twirling_Solo_Program289101112131415161718525354555657586061636567686972737475767778798081828384[[#This Row],[Judge 1
Tamara Beljak]]-J2</f>
        <v>58.900000000000006</v>
      </c>
      <c r="L2" s="22">
        <f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Row],[Category]],Twirling_Solo_Program289101112131415161718525354555657586061636567686972737475767778798081828384[J1 TOTAL],"&gt;"&amp;Twirling_Solo_Program289101112131415161718525354555657586061636567686972737475767778798081828384[[#This Row],[J1 TOTAL]])+1</f>
        <v>1</v>
      </c>
      <c r="M2" s="19">
        <v>61.2</v>
      </c>
      <c r="N2" s="20">
        <v>6.6</v>
      </c>
      <c r="O2" s="21">
        <f>Twirling_Solo_Program289101112131415161718525354555657586061636567686972737475767778798081828384[[#This Row],[Judge 2
Tihomir Bendelja]]-Twirling_Solo_Program289101112131415161718525354555657586061636567686972737475767778798081828384[[#This Row],[J2 (-)]]</f>
        <v>54.6</v>
      </c>
      <c r="P2" s="22">
        <f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Row],[Category]],Twirling_Solo_Program289101112131415161718525354555657586061636567686972737475767778798081828384[J2 TOTAL],"&gt;"&amp;Twirling_Solo_Program289101112131415161718525354555657586061636567686972737475767778798081828384[[#This Row],[J2 TOTAL]])+1</f>
        <v>1</v>
      </c>
      <c r="Q2" s="19">
        <v>63.3</v>
      </c>
      <c r="R2" s="20">
        <v>6.3</v>
      </c>
      <c r="S2" s="21">
        <f>Twirling_Solo_Program289101112131415161718525354555657586061636567686972737475767778798081828384[[#This Row],[Judge 3
Barbara Novina]]-R2</f>
        <v>57</v>
      </c>
      <c r="T2" s="22">
        <f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Row],[Category]],Twirling_Solo_Program289101112131415161718525354555657586061636567686972737475767778798081828384[J3 TOTAL],"&gt;"&amp;Twirling_Solo_Program289101112131415161718525354555657586061636567686972737475767778798081828384[[#This Row],[J3 TOTAL]])+1</f>
        <v>1</v>
      </c>
      <c r="U2" s="19">
        <v>66.2</v>
      </c>
      <c r="V2" s="20">
        <v>6</v>
      </c>
      <c r="W2" s="21">
        <f>Twirling_Solo_Program289101112131415161718525354555657586061636567686972737475767778798081828384[[#This Row],[Judge 4
Bernard Barač]]-V2</f>
        <v>60.2</v>
      </c>
      <c r="X2" s="22">
        <f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Row],[Category]],Twirling_Solo_Program289101112131415161718525354555657586061636567686972737475767778798081828384[J4 TOTAL],"&gt;"&amp;Twirling_Solo_Program289101112131415161718525354555657586061636567686972737475767778798081828384[[#This Row],[J4 TOTAL]])+1</f>
        <v>1</v>
      </c>
      <c r="Y2" s="23">
        <f>SUM(Twirling_Solo_Program289101112131415161718525354555657586061636567686972737475767778798081828384[[#This Row],[J1 TOTAL]]+Twirling_Solo_Program289101112131415161718525354555657586061636567686972737475767778798081828384[[#This Row],[J2 TOTAL]]+Twirling_Solo_Program289101112131415161718525354555657586061636567686972737475767778798081828384[[#This Row],[J3 TOTAL]]+Twirling_Solo_Program289101112131415161718525354555657586061636567686972737475767778798081828384[[#This Row],[J4 TOTAL]])</f>
        <v>230.7</v>
      </c>
      <c r="Z2" s="23">
        <f>MIN(Twirling_Solo_Program289101112131415161718525354555657586061636567686972737475767778798081828384[[#This Row],[J1 TOTAL]],Twirling_Solo_Program289101112131415161718525354555657586061636567686972737475767778798081828384[[#This Row],[J2 TOTAL]],Twirling_Solo_Program289101112131415161718525354555657586061636567686972737475767778798081828384[[#This Row],[J3 TOTAL]],Twirling_Solo_Program289101112131415161718525354555657586061636567686972737475767778798081828384[[#This Row],[J4 TOTAL]])</f>
        <v>54.6</v>
      </c>
      <c r="AA2" s="23">
        <f>MAX(Twirling_Solo_Program289101112131415161718525354555657586061636567686972737475767778798081828384[[#This Row],[J1 TOTAL]],Twirling_Solo_Program289101112131415161718525354555657586061636567686972737475767778798081828384[[#This Row],[J2 TOTAL]],Twirling_Solo_Program289101112131415161718525354555657586061636567686972737475767778798081828384[[#This Row],[J3 TOTAL]],Twirling_Solo_Program289101112131415161718525354555657586061636567686972737475767778798081828384[[#This Row],[J4 TOTAL]])</f>
        <v>60.2</v>
      </c>
      <c r="AB2" s="23">
        <f>SUM(Twirling_Solo_Program289101112131415161718525354555657586061636567686972737475767778798081828384[[#This Row],[Total]]-Twirling_Solo_Program289101112131415161718525354555657586061636567686972737475767778798081828384[[#This Row],[Low]]-Twirling_Solo_Program289101112131415161718525354555657586061636567686972737475767778798081828384[[#This Row],[High]])</f>
        <v>115.89999999999999</v>
      </c>
      <c r="AC2" s="23">
        <f>AVERAGE(I2,M2,Q2,U2)</f>
        <v>63.900000000000006</v>
      </c>
      <c r="AD2" s="24">
        <f>Twirling_Solo_Program289101112131415161718525354555657586061636567686972737475767778798081828384[[#This Row],[Final Total]]</f>
        <v>115.89999999999999</v>
      </c>
      <c r="AE2" s="25">
        <f>COUNTIFS(Twirling_Solo_Program289101112131415161718525354555657586061636567686972737475767778798081828384[Age
Division],Twirling_Solo_Program289101112131415161718525354555657586061636567686972737475767778798081828384[[#This Row],[Age
Division]],Twirling_Solo_Program289101112131415161718525354555657586061636567686972737475767778798081828384[Category],Twirling_Solo_Program289101112131415161718525354555657586061636567686972737475767778798081828384[[#This Row],[Category]],Twirling_Solo_Program289101112131415161718525354555657586061636567686972737475767778798081828384[FINAL SCORE],"&gt;"&amp;Twirling_Solo_Program289101112131415161718525354555657586061636567686972737475767778798081828384[[#This Row],[FINAL SCORE]])+1</f>
        <v>1</v>
      </c>
      <c r="AF2" s="16" t="s">
        <v>26</v>
      </c>
    </row>
  </sheetData>
  <sheetProtection algorithmName="SHA-512" hashValue="6yV4cp+EzHTuB0gjx9gFLKQ1yYd07kY0WeiQLmOyPy2kP8lJ/fNQjHRpwCXZjL4Ljscmc6fHe5qutAA6tefIYQ==" saltValue="UFSCY3zNW3m7jkshgzSsR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2.85546875" style="27" customWidth="1"/>
    <col min="4" max="4" width="10.85546875" style="28" customWidth="1"/>
    <col min="5" max="5" width="3.7109375" style="28" hidden="1" customWidth="1"/>
    <col min="6" max="6" width="26.140625" style="18" hidden="1" customWidth="1"/>
    <col min="7" max="7" width="40.7109375" style="18" customWidth="1"/>
    <col min="8" max="8" width="10.28515625" style="18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162</v>
      </c>
      <c r="B2" s="17"/>
      <c r="C2" s="17" t="s">
        <v>192</v>
      </c>
      <c r="D2" s="17" t="s">
        <v>30</v>
      </c>
      <c r="E2" s="62"/>
      <c r="F2" s="17"/>
      <c r="G2" s="17" t="s">
        <v>73</v>
      </c>
      <c r="H2" s="18" t="s">
        <v>25</v>
      </c>
      <c r="I2" s="19">
        <v>62.1</v>
      </c>
      <c r="J2" s="20">
        <v>2</v>
      </c>
      <c r="K2" s="21">
        <f>Twirling_Solo_Program28910111213141516171852535455565758606163656768697273747576777879808182838485[[#This Row],[Judge 1
Tamara Beljak]]-J2</f>
        <v>60.1</v>
      </c>
      <c r="L2" s="22">
        <f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Row],[Category]],Twirling_Solo_Program28910111213141516171852535455565758606163656768697273747576777879808182838485[J1 TOTAL],"&gt;"&amp;Twirling_Solo_Program28910111213141516171852535455565758606163656768697273747576777879808182838485[[#This Row],[J1 TOTAL]])+1</f>
        <v>1</v>
      </c>
      <c r="M2" s="19">
        <v>60.2</v>
      </c>
      <c r="N2" s="20">
        <v>2.5</v>
      </c>
      <c r="O2" s="21">
        <f>Twirling_Solo_Program28910111213141516171852535455565758606163656768697273747576777879808182838485[[#This Row],[Judge 2
Tihomir Bendelja]]-Twirling_Solo_Program28910111213141516171852535455565758606163656768697273747576777879808182838485[[#This Row],[J2 (-)]]</f>
        <v>57.7</v>
      </c>
      <c r="P2" s="22">
        <f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Row],[Category]],Twirling_Solo_Program28910111213141516171852535455565758606163656768697273747576777879808182838485[J2 TOTAL],"&gt;"&amp;Twirling_Solo_Program28910111213141516171852535455565758606163656768697273747576777879808182838485[[#This Row],[J2 TOTAL]])+1</f>
        <v>1</v>
      </c>
      <c r="Q2" s="19">
        <v>62.1</v>
      </c>
      <c r="R2" s="20">
        <v>2.1</v>
      </c>
      <c r="S2" s="21">
        <f>Twirling_Solo_Program28910111213141516171852535455565758606163656768697273747576777879808182838485[[#This Row],[Judge 3
Barbara Novina]]-R2</f>
        <v>60</v>
      </c>
      <c r="T2" s="22">
        <f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Row],[Category]],Twirling_Solo_Program28910111213141516171852535455565758606163656768697273747576777879808182838485[J3 TOTAL],"&gt;"&amp;Twirling_Solo_Program28910111213141516171852535455565758606163656768697273747576777879808182838485[[#This Row],[J3 TOTAL]])+1</f>
        <v>1</v>
      </c>
      <c r="U2" s="19">
        <v>60.9</v>
      </c>
      <c r="V2" s="20">
        <v>2.1</v>
      </c>
      <c r="W2" s="21">
        <f>Twirling_Solo_Program28910111213141516171852535455565758606163656768697273747576777879808182838485[[#This Row],[Judge 4
Bernard Barač]]-V2</f>
        <v>58.8</v>
      </c>
      <c r="X2" s="22">
        <f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Row],[Category]],Twirling_Solo_Program28910111213141516171852535455565758606163656768697273747576777879808182838485[J4 TOTAL],"&gt;"&amp;Twirling_Solo_Program28910111213141516171852535455565758606163656768697273747576777879808182838485[[#This Row],[J4 TOTAL]])+1</f>
        <v>1</v>
      </c>
      <c r="Y2" s="23">
        <f>SUM(Twirling_Solo_Program28910111213141516171852535455565758606163656768697273747576777879808182838485[[#This Row],[J1 TOTAL]]+Twirling_Solo_Program28910111213141516171852535455565758606163656768697273747576777879808182838485[[#This Row],[J2 TOTAL]]+Twirling_Solo_Program28910111213141516171852535455565758606163656768697273747576777879808182838485[[#This Row],[J3 TOTAL]]+Twirling_Solo_Program28910111213141516171852535455565758606163656768697273747576777879808182838485[[#This Row],[J4 TOTAL]])</f>
        <v>236.60000000000002</v>
      </c>
      <c r="Z2" s="23">
        <f>MIN(Twirling_Solo_Program28910111213141516171852535455565758606163656768697273747576777879808182838485[[#This Row],[J1 TOTAL]],Twirling_Solo_Program28910111213141516171852535455565758606163656768697273747576777879808182838485[[#This Row],[J2 TOTAL]],Twirling_Solo_Program28910111213141516171852535455565758606163656768697273747576777879808182838485[[#This Row],[J3 TOTAL]],Twirling_Solo_Program28910111213141516171852535455565758606163656768697273747576777879808182838485[[#This Row],[J4 TOTAL]])</f>
        <v>57.7</v>
      </c>
      <c r="AA2" s="23">
        <f>MAX(Twirling_Solo_Program28910111213141516171852535455565758606163656768697273747576777879808182838485[[#This Row],[J1 TOTAL]],Twirling_Solo_Program28910111213141516171852535455565758606163656768697273747576777879808182838485[[#This Row],[J2 TOTAL]],Twirling_Solo_Program28910111213141516171852535455565758606163656768697273747576777879808182838485[[#This Row],[J3 TOTAL]],Twirling_Solo_Program28910111213141516171852535455565758606163656768697273747576777879808182838485[[#This Row],[J4 TOTAL]])</f>
        <v>60.1</v>
      </c>
      <c r="AB2" s="23">
        <f>SUM(Twirling_Solo_Program28910111213141516171852535455565758606163656768697273747576777879808182838485[[#This Row],[Total]]-Twirling_Solo_Program28910111213141516171852535455565758606163656768697273747576777879808182838485[[#This Row],[Low]]-Twirling_Solo_Program28910111213141516171852535455565758606163656768697273747576777879808182838485[[#This Row],[High]])</f>
        <v>118.80000000000004</v>
      </c>
      <c r="AC2" s="23">
        <f>AVERAGE(I2,M2,Q2,U2)</f>
        <v>61.325000000000003</v>
      </c>
      <c r="AD2" s="24">
        <f>Twirling_Solo_Program28910111213141516171852535455565758606163656768697273747576777879808182838485[[#This Row],[Final Total]]</f>
        <v>118.80000000000004</v>
      </c>
      <c r="AE2" s="25">
        <f>COUNTIFS(Twirling_Solo_Program28910111213141516171852535455565758606163656768697273747576777879808182838485[Age
Division],Twirling_Solo_Program28910111213141516171852535455565758606163656768697273747576777879808182838485[[#This Row],[Age
Division]],Twirling_Solo_Program28910111213141516171852535455565758606163656768697273747576777879808182838485[Category],Twirling_Solo_Program28910111213141516171852535455565758606163656768697273747576777879808182838485[[#This Row],[Category]],Twirling_Solo_Program28910111213141516171852535455565758606163656768697273747576777879808182838485[FINAL SCORE],"&gt;"&amp;Twirling_Solo_Program28910111213141516171852535455565758606163656768697273747576777879808182838485[[#This Row],[FINAL SCORE]])+1</f>
        <v>1</v>
      </c>
      <c r="AF2" s="16" t="s">
        <v>26</v>
      </c>
    </row>
  </sheetData>
  <sheetProtection algorithmName="SHA-512" hashValue="UhnMCJMOE+uuz4Sukg4+/HMaJk3yGDRzk9MnnH8p1USsij75h/vCDakfz2WcTD/mIf501vwf484/SZXuK+7wBg==" saltValue="lJeKRxLJ/72ji3pzcdEzx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4.28515625" style="27" customWidth="1"/>
    <col min="4" max="4" width="8.28515625" style="28" customWidth="1"/>
    <col min="5" max="5" width="12" style="28" hidden="1" customWidth="1"/>
    <col min="6" max="6" width="26.140625" style="18" hidden="1" customWidth="1"/>
    <col min="7" max="7" width="34" style="18" customWidth="1"/>
    <col min="8" max="8" width="9.5703125" style="18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163</v>
      </c>
      <c r="B2" s="17"/>
      <c r="C2" s="17" t="s">
        <v>192</v>
      </c>
      <c r="D2" s="17" t="s">
        <v>23</v>
      </c>
      <c r="E2" s="62"/>
      <c r="F2" s="17"/>
      <c r="G2" s="17" t="s">
        <v>32</v>
      </c>
      <c r="H2" s="18" t="s">
        <v>25</v>
      </c>
      <c r="I2" s="19">
        <v>64.900000000000006</v>
      </c>
      <c r="J2" s="20">
        <v>3</v>
      </c>
      <c r="K2" s="21">
        <f>Twirling_Solo_Program2891011121314151617185253545556575860616365676869727374757677787980818283848586[[#This Row],[Judge 1
Tamara Beljak]]-J2</f>
        <v>61.900000000000006</v>
      </c>
      <c r="L2" s="22">
        <f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Row],[Category]],Twirling_Solo_Program2891011121314151617185253545556575860616365676869727374757677787980818283848586[J1 TOTAL],"&gt;"&amp;Twirling_Solo_Program2891011121314151617185253545556575860616365676869727374757677787980818283848586[[#This Row],[J1 TOTAL]])+1</f>
        <v>1</v>
      </c>
      <c r="M2" s="19">
        <v>61.1</v>
      </c>
      <c r="N2" s="20">
        <v>3.1</v>
      </c>
      <c r="O2" s="21">
        <f>Twirling_Solo_Program2891011121314151617185253545556575860616365676869727374757677787980818283848586[[#This Row],[Judge 2
Tihomir Bendelja]]-Twirling_Solo_Program2891011121314151617185253545556575860616365676869727374757677787980818283848586[[#This Row],[J2 (-)]]</f>
        <v>58</v>
      </c>
      <c r="P2" s="22">
        <f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Row],[Category]],Twirling_Solo_Program2891011121314151617185253545556575860616365676869727374757677787980818283848586[J2 TOTAL],"&gt;"&amp;Twirling_Solo_Program2891011121314151617185253545556575860616365676869727374757677787980818283848586[[#This Row],[J2 TOTAL]])+1</f>
        <v>1</v>
      </c>
      <c r="Q2" s="19">
        <v>62.6</v>
      </c>
      <c r="R2" s="20">
        <v>3.2</v>
      </c>
      <c r="S2" s="21">
        <f>Twirling_Solo_Program2891011121314151617185253545556575860616365676869727374757677787980818283848586[[#This Row],[Judge 3
Barbara Novina]]-R2</f>
        <v>59.4</v>
      </c>
      <c r="T2" s="22">
        <f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Row],[Category]],Twirling_Solo_Program2891011121314151617185253545556575860616365676869727374757677787980818283848586[J3 TOTAL],"&gt;"&amp;Twirling_Solo_Program2891011121314151617185253545556575860616365676869727374757677787980818283848586[[#This Row],[J3 TOTAL]])+1</f>
        <v>1</v>
      </c>
      <c r="U2" s="19">
        <v>62</v>
      </c>
      <c r="V2" s="20">
        <v>3</v>
      </c>
      <c r="W2" s="21">
        <f>Twirling_Solo_Program2891011121314151617185253545556575860616365676869727374757677787980818283848586[[#This Row],[Judge 4
Bernard Barač]]-V2</f>
        <v>59</v>
      </c>
      <c r="X2" s="22">
        <f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Row],[Category]],Twirling_Solo_Program2891011121314151617185253545556575860616365676869727374757677787980818283848586[J4 TOTAL],"&gt;"&amp;Twirling_Solo_Program2891011121314151617185253545556575860616365676869727374757677787980818283848586[[#This Row],[J4 TOTAL]])+1</f>
        <v>1</v>
      </c>
      <c r="Y2" s="23">
        <f>SUM(Twirling_Solo_Program2891011121314151617185253545556575860616365676869727374757677787980818283848586[[#This Row],[J1 TOTAL]]+Twirling_Solo_Program2891011121314151617185253545556575860616365676869727374757677787980818283848586[[#This Row],[J2 TOTAL]]+Twirling_Solo_Program2891011121314151617185253545556575860616365676869727374757677787980818283848586[[#This Row],[J3 TOTAL]]+Twirling_Solo_Program2891011121314151617185253545556575860616365676869727374757677787980818283848586[[#This Row],[J4 TOTAL]])</f>
        <v>238.3</v>
      </c>
      <c r="Z2" s="23">
        <f>MIN(Twirling_Solo_Program2891011121314151617185253545556575860616365676869727374757677787980818283848586[[#This Row],[J1 TOTAL]],Twirling_Solo_Program2891011121314151617185253545556575860616365676869727374757677787980818283848586[[#This Row],[J2 TOTAL]],Twirling_Solo_Program2891011121314151617185253545556575860616365676869727374757677787980818283848586[[#This Row],[J3 TOTAL]],Twirling_Solo_Program2891011121314151617185253545556575860616365676869727374757677787980818283848586[[#This Row],[J4 TOTAL]])</f>
        <v>58</v>
      </c>
      <c r="AA2" s="23">
        <f>MAX(Twirling_Solo_Program2891011121314151617185253545556575860616365676869727374757677787980818283848586[[#This Row],[J1 TOTAL]],Twirling_Solo_Program2891011121314151617185253545556575860616365676869727374757677787980818283848586[[#This Row],[J2 TOTAL]],Twirling_Solo_Program2891011121314151617185253545556575860616365676869727374757677787980818283848586[[#This Row],[J3 TOTAL]],Twirling_Solo_Program2891011121314151617185253545556575860616365676869727374757677787980818283848586[[#This Row],[J4 TOTAL]])</f>
        <v>61.900000000000006</v>
      </c>
      <c r="AB2" s="23">
        <f>SUM(Twirling_Solo_Program2891011121314151617185253545556575860616365676869727374757677787980818283848586[[#This Row],[Total]]-Twirling_Solo_Program2891011121314151617185253545556575860616365676869727374757677787980818283848586[[#This Row],[Low]]-Twirling_Solo_Program2891011121314151617185253545556575860616365676869727374757677787980818283848586[[#This Row],[High]])</f>
        <v>118.4</v>
      </c>
      <c r="AC2" s="23">
        <f>AVERAGE(I2,M2,Q2,U2)</f>
        <v>62.65</v>
      </c>
      <c r="AD2" s="24">
        <f>Twirling_Solo_Program2891011121314151617185253545556575860616365676869727374757677787980818283848586[[#This Row],[Final Total]]</f>
        <v>118.4</v>
      </c>
      <c r="AE2" s="25">
        <f>COUNTIFS(Twirling_Solo_Program2891011121314151617185253545556575860616365676869727374757677787980818283848586[Age
Division],Twirling_Solo_Program2891011121314151617185253545556575860616365676869727374757677787980818283848586[[#This Row],[Age
Division]],Twirling_Solo_Program2891011121314151617185253545556575860616365676869727374757677787980818283848586[Category],Twirling_Solo_Program2891011121314151617185253545556575860616365676869727374757677787980818283848586[[#This Row],[Category]],Twirling_Solo_Program2891011121314151617185253545556575860616365676869727374757677787980818283848586[FINAL SCORE],"&gt;"&amp;Twirling_Solo_Program2891011121314151617185253545556575860616365676869727374757677787980818283848586[[#This Row],[FINAL SCORE]])+1</f>
        <v>1</v>
      </c>
      <c r="AF2" s="16" t="s">
        <v>26</v>
      </c>
    </row>
  </sheetData>
  <sheetProtection algorithmName="SHA-512" hashValue="WFrMHJqCDQ5bW165TkJjic7XrUwHytFaGNZMhX1JGH88pqXmclA58LrdeH3b4vRqcqu/n7XN5lhAkx+BTESp4g==" saltValue="axOVSo/+40NFUFhjnzD2Kg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4.42578125" style="27" customWidth="1"/>
    <col min="4" max="4" width="11.7109375" style="28" customWidth="1"/>
    <col min="5" max="5" width="12" style="28" hidden="1" customWidth="1"/>
    <col min="6" max="6" width="26.140625" style="18" hidden="1" customWidth="1"/>
    <col min="7" max="7" width="25.5703125" style="18" customWidth="1"/>
    <col min="8" max="8" width="10.28515625" style="18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8.42578125" style="18" customWidth="1"/>
    <col min="32" max="32" width="9.140625" style="18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164</v>
      </c>
      <c r="B2" s="17"/>
      <c r="C2" s="17" t="s">
        <v>192</v>
      </c>
      <c r="D2" s="17" t="s">
        <v>27</v>
      </c>
      <c r="E2" s="62"/>
      <c r="F2" s="17"/>
      <c r="G2" s="17" t="s">
        <v>146</v>
      </c>
      <c r="H2" s="18" t="s">
        <v>28</v>
      </c>
      <c r="I2" s="19">
        <v>55</v>
      </c>
      <c r="J2" s="20">
        <v>7.5</v>
      </c>
      <c r="K2" s="21">
        <f>Twirling_Solo_Program289101112131415161718525354555657586061636567686972737475767778798081828384858687[[#This Row],[Judge 1
Tamara Beljak]]-J2</f>
        <v>47.5</v>
      </c>
      <c r="L2" s="22">
        <f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Row],[Category]],Twirling_Solo_Program289101112131415161718525354555657586061636567686972737475767778798081828384858687[J1 TOTAL],"&gt;"&amp;Twirling_Solo_Program289101112131415161718525354555657586061636567686972737475767778798081828384858687[[#This Row],[J1 TOTAL]])+1</f>
        <v>1</v>
      </c>
      <c r="M2" s="19">
        <v>55.4</v>
      </c>
      <c r="N2" s="20">
        <v>7.8</v>
      </c>
      <c r="O2" s="21">
        <f>Twirling_Solo_Program289101112131415161718525354555657586061636567686972737475767778798081828384858687[[#This Row],[Judge 2
Tihomir Bendelja]]-Twirling_Solo_Program289101112131415161718525354555657586061636567686972737475767778798081828384858687[[#This Row],[J2 (-)]]</f>
        <v>47.6</v>
      </c>
      <c r="P2" s="22">
        <f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Row],[Category]],Twirling_Solo_Program289101112131415161718525354555657586061636567686972737475767778798081828384858687[J2 TOTAL],"&gt;"&amp;Twirling_Solo_Program289101112131415161718525354555657586061636567686972737475767778798081828384858687[[#This Row],[J2 TOTAL]])+1</f>
        <v>1</v>
      </c>
      <c r="Q2" s="19">
        <v>58.9</v>
      </c>
      <c r="R2" s="20">
        <v>7.6</v>
      </c>
      <c r="S2" s="21">
        <f>Twirling_Solo_Program289101112131415161718525354555657586061636567686972737475767778798081828384858687[[#This Row],[Judge 3
Barbara Novina]]-R2</f>
        <v>51.3</v>
      </c>
      <c r="T2" s="22">
        <f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Row],[Category]],Twirling_Solo_Program289101112131415161718525354555657586061636567686972737475767778798081828384858687[J3 TOTAL],"&gt;"&amp;Twirling_Solo_Program289101112131415161718525354555657586061636567686972737475767778798081828384858687[[#This Row],[J3 TOTAL]])+1</f>
        <v>1</v>
      </c>
      <c r="U2" s="19">
        <v>59.3</v>
      </c>
      <c r="V2" s="20">
        <v>7.6</v>
      </c>
      <c r="W2" s="21">
        <f>Twirling_Solo_Program289101112131415161718525354555657586061636567686972737475767778798081828384858687[[#This Row],[Judge 4
Bernard Barač]]-V2</f>
        <v>51.699999999999996</v>
      </c>
      <c r="X2" s="22">
        <f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Row],[Category]],Twirling_Solo_Program289101112131415161718525354555657586061636567686972737475767778798081828384858687[J4 TOTAL],"&gt;"&amp;Twirling_Solo_Program289101112131415161718525354555657586061636567686972737475767778798081828384858687[[#This Row],[J4 TOTAL]])+1</f>
        <v>1</v>
      </c>
      <c r="Y2" s="23">
        <f>SUM(Twirling_Solo_Program289101112131415161718525354555657586061636567686972737475767778798081828384858687[[#This Row],[J1 TOTAL]]+Twirling_Solo_Program289101112131415161718525354555657586061636567686972737475767778798081828384858687[[#This Row],[J2 TOTAL]]+Twirling_Solo_Program289101112131415161718525354555657586061636567686972737475767778798081828384858687[[#This Row],[J3 TOTAL]]+Twirling_Solo_Program289101112131415161718525354555657586061636567686972737475767778798081828384858687[[#This Row],[J4 TOTAL]])</f>
        <v>198.09999999999997</v>
      </c>
      <c r="Z2" s="23">
        <f>MIN(Twirling_Solo_Program289101112131415161718525354555657586061636567686972737475767778798081828384858687[[#This Row],[J1 TOTAL]],Twirling_Solo_Program289101112131415161718525354555657586061636567686972737475767778798081828384858687[[#This Row],[J2 TOTAL]],Twirling_Solo_Program289101112131415161718525354555657586061636567686972737475767778798081828384858687[[#This Row],[J3 TOTAL]],Twirling_Solo_Program289101112131415161718525354555657586061636567686972737475767778798081828384858687[[#This Row],[J4 TOTAL]])</f>
        <v>47.5</v>
      </c>
      <c r="AA2" s="23">
        <f>MAX(Twirling_Solo_Program289101112131415161718525354555657586061636567686972737475767778798081828384858687[[#This Row],[J1 TOTAL]],Twirling_Solo_Program289101112131415161718525354555657586061636567686972737475767778798081828384858687[[#This Row],[J2 TOTAL]],Twirling_Solo_Program289101112131415161718525354555657586061636567686972737475767778798081828384858687[[#This Row],[J3 TOTAL]],Twirling_Solo_Program289101112131415161718525354555657586061636567686972737475767778798081828384858687[[#This Row],[J4 TOTAL]])</f>
        <v>51.699999999999996</v>
      </c>
      <c r="AB2" s="23">
        <f>SUM(Twirling_Solo_Program289101112131415161718525354555657586061636567686972737475767778798081828384858687[[#This Row],[Total]]-Twirling_Solo_Program289101112131415161718525354555657586061636567686972737475767778798081828384858687[[#This Row],[Low]]-Twirling_Solo_Program289101112131415161718525354555657586061636567686972737475767778798081828384858687[[#This Row],[High]])</f>
        <v>98.899999999999977</v>
      </c>
      <c r="AC2" s="23">
        <f>AVERAGE(I2,M2,Q2,U2)</f>
        <v>57.150000000000006</v>
      </c>
      <c r="AD2" s="24">
        <f>Twirling_Solo_Program289101112131415161718525354555657586061636567686972737475767778798081828384858687[[#This Row],[Final Total]]</f>
        <v>98.899999999999977</v>
      </c>
      <c r="AE2" s="25">
        <f>COUNTIFS(Twirling_Solo_Program289101112131415161718525354555657586061636567686972737475767778798081828384858687[Age
Division],Twirling_Solo_Program289101112131415161718525354555657586061636567686972737475767778798081828384858687[[#This Row],[Age
Division]],Twirling_Solo_Program289101112131415161718525354555657586061636567686972737475767778798081828384858687[Category],Twirling_Solo_Program289101112131415161718525354555657586061636567686972737475767778798081828384858687[[#This Row],[Category]],Twirling_Solo_Program289101112131415161718525354555657586061636567686972737475767778798081828384858687[FINAL SCORE],"&gt;"&amp;Twirling_Solo_Program289101112131415161718525354555657586061636567686972737475767778798081828384858687[[#This Row],[FINAL SCORE]])+1</f>
        <v>1</v>
      </c>
      <c r="AF2" s="16" t="s">
        <v>26</v>
      </c>
    </row>
  </sheetData>
  <sheetProtection algorithmName="SHA-512" hashValue="LJQoMguHGhnl+iAKtL9oo4iC9teUaLshDPWVelsx9q+tv0buBuzy+mIzXSFjyA3aL4S0a9e0d0V0PCI3MFgkig==" saltValue="Jo3sbNnNB6F6NNpYD+vBhQ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5703125" style="27" customWidth="1"/>
    <col min="4" max="4" width="10.140625" style="28" customWidth="1"/>
    <col min="5" max="5" width="11.85546875" style="28" customWidth="1"/>
    <col min="6" max="6" width="13.28515625" style="18" customWidth="1"/>
    <col min="7" max="7" width="44" style="18" customWidth="1"/>
    <col min="8" max="8" width="10.5703125" style="18" customWidth="1"/>
    <col min="9" max="12" width="9.140625" style="18" hidden="1" customWidth="1"/>
    <col min="13" max="16" width="9.140625" style="18" customWidth="1"/>
    <col min="17" max="17" width="10.7109375" style="18" hidden="1" customWidth="1"/>
    <col min="18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6.710937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6</v>
      </c>
      <c r="B2" s="17">
        <v>2</v>
      </c>
      <c r="C2" s="17" t="s">
        <v>49</v>
      </c>
      <c r="D2" s="17" t="s">
        <v>27</v>
      </c>
      <c r="E2" s="17" t="s">
        <v>50</v>
      </c>
      <c r="F2" s="17" t="s">
        <v>80</v>
      </c>
      <c r="G2" s="17" t="s">
        <v>56</v>
      </c>
      <c r="H2" s="18" t="s">
        <v>25</v>
      </c>
      <c r="I2" s="19"/>
      <c r="J2" s="20"/>
      <c r="K2" s="21">
        <f>Twirling_Solo_Program289101112131415161718525354[[#This Row],[Judge 1
Tamara Beljak]]-J2</f>
        <v>0</v>
      </c>
      <c r="L2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Row],[Category]],Twirling_Solo_Program289101112131415161718525354[J1 TOTAL],"&gt;"&amp;Twirling_Solo_Program289101112131415161718525354[[#This Row],[J1 TOTAL]])+1</f>
        <v>1</v>
      </c>
      <c r="M2" s="19">
        <v>29.2</v>
      </c>
      <c r="N2" s="20">
        <v>0</v>
      </c>
      <c r="O2" s="21">
        <f>Twirling_Solo_Program289101112131415161718525354[[#This Row],[Judge 2
Tihomir Bendelja]]-Twirling_Solo_Program289101112131415161718525354[[#This Row],[J2 (-)]]</f>
        <v>29.2</v>
      </c>
      <c r="P2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Row],[Category]],Twirling_Solo_Program289101112131415161718525354[J2 TOTAL],"&gt;"&amp;Twirling_Solo_Program289101112131415161718525354[[#This Row],[J2 TOTAL]])+1</f>
        <v>1</v>
      </c>
      <c r="Q2" s="19"/>
      <c r="R2" s="20"/>
      <c r="S2" s="21">
        <f>Twirling_Solo_Program289101112131415161718525354[[#This Row],[Judge 3
Barbara Novina]]-R2</f>
        <v>0</v>
      </c>
      <c r="T2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Row],[Category]],Twirling_Solo_Program289101112131415161718525354[J3 TOTAL],"&gt;"&amp;Twirling_Solo_Program289101112131415161718525354[[#This Row],[J3 TOTAL]])+1</f>
        <v>1</v>
      </c>
      <c r="U2" s="19">
        <v>29.2</v>
      </c>
      <c r="V2" s="20">
        <v>0</v>
      </c>
      <c r="W2" s="21">
        <f>Twirling_Solo_Program289101112131415161718525354[[#This Row],[Judge 4
Bernard Barač]]-V2</f>
        <v>29.2</v>
      </c>
      <c r="X2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Row],[Category]],Twirling_Solo_Program289101112131415161718525354[J4 TOTAL],"&gt;"&amp;Twirling_Solo_Program289101112131415161718525354[[#This Row],[J4 TOTAL]])+1</f>
        <v>1</v>
      </c>
      <c r="Y2" s="23">
        <f>SUM(Twirling_Solo_Program289101112131415161718525354[[#This Row],[J1 TOTAL]]+Twirling_Solo_Program289101112131415161718525354[[#This Row],[J2 TOTAL]]+Twirling_Solo_Program289101112131415161718525354[[#This Row],[J3 TOTAL]]+Twirling_Solo_Program289101112131415161718525354[[#This Row],[J4 TOTAL]])</f>
        <v>58.4</v>
      </c>
      <c r="Z2" s="23"/>
      <c r="AA2" s="23"/>
      <c r="AB2" s="23">
        <f>SUM(Twirling_Solo_Program289101112131415161718525354[[#This Row],[Total]]-Twirling_Solo_Program289101112131415161718525354[[#This Row],[Low]]-Twirling_Solo_Program289101112131415161718525354[[#This Row],[High]])</f>
        <v>58.4</v>
      </c>
      <c r="AC2" s="23">
        <f t="shared" ref="AC2:AC7" si="0">AVERAGE(I2,M2,Q2,U2)</f>
        <v>29.2</v>
      </c>
      <c r="AD2" s="24">
        <f>Twirling_Solo_Program289101112131415161718525354[[#This Row],[Final Total]]</f>
        <v>58.4</v>
      </c>
      <c r="AE2" s="25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Row],[Category]],Twirling_Solo_Program289101112131415161718525354[FINAL SCORE],"&gt;"&amp;Twirling_Solo_Program289101112131415161718525354[[#This Row],[FINAL SCORE]])+1</f>
        <v>1</v>
      </c>
      <c r="AF2" s="16" t="s">
        <v>35</v>
      </c>
    </row>
    <row r="3" spans="1:51" x14ac:dyDescent="0.3">
      <c r="A3" s="16">
        <v>8</v>
      </c>
      <c r="B3" s="17">
        <v>2</v>
      </c>
      <c r="C3" s="17" t="s">
        <v>49</v>
      </c>
      <c r="D3" s="17" t="s">
        <v>27</v>
      </c>
      <c r="E3" s="17" t="s">
        <v>50</v>
      </c>
      <c r="F3" s="17" t="s">
        <v>81</v>
      </c>
      <c r="G3" s="17" t="s">
        <v>58</v>
      </c>
      <c r="H3" s="18" t="s">
        <v>25</v>
      </c>
      <c r="I3" s="19"/>
      <c r="J3" s="20"/>
      <c r="K3" s="21">
        <f>Twirling_Solo_Program289101112131415161718525354[[#This Row],[Judge 1
Tamara Beljak]]-J3</f>
        <v>0</v>
      </c>
      <c r="L3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Row],[Category]],Twirling_Solo_Program289101112131415161718525354[J1 TOTAL],"&gt;"&amp;Twirling_Solo_Program289101112131415161718525354[[#This Row],[J1 TOTAL]])+1</f>
        <v>1</v>
      </c>
      <c r="M3" s="19">
        <v>28.3</v>
      </c>
      <c r="N3" s="20">
        <v>0.2</v>
      </c>
      <c r="O3" s="21">
        <f>Twirling_Solo_Program289101112131415161718525354[[#This Row],[Judge 2
Tihomir Bendelja]]-Twirling_Solo_Program289101112131415161718525354[[#This Row],[J2 (-)]]</f>
        <v>28.1</v>
      </c>
      <c r="P3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Row],[Category]],Twirling_Solo_Program289101112131415161718525354[J2 TOTAL],"&gt;"&amp;Twirling_Solo_Program289101112131415161718525354[[#This Row],[J2 TOTAL]])+1</f>
        <v>2</v>
      </c>
      <c r="Q3" s="19"/>
      <c r="R3" s="20"/>
      <c r="S3" s="21">
        <f>Twirling_Solo_Program289101112131415161718525354[[#This Row],[Judge 3
Barbara Novina]]-R3</f>
        <v>0</v>
      </c>
      <c r="T3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Row],[Category]],Twirling_Solo_Program289101112131415161718525354[J3 TOTAL],"&gt;"&amp;Twirling_Solo_Program289101112131415161718525354[[#This Row],[J3 TOTAL]])+1</f>
        <v>1</v>
      </c>
      <c r="U3" s="19">
        <v>29</v>
      </c>
      <c r="V3" s="20">
        <v>0.2</v>
      </c>
      <c r="W3" s="21">
        <f>Twirling_Solo_Program289101112131415161718525354[[#This Row],[Judge 4
Bernard Barač]]-V3</f>
        <v>28.8</v>
      </c>
      <c r="X3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Row],[Category]],Twirling_Solo_Program289101112131415161718525354[J4 TOTAL],"&gt;"&amp;Twirling_Solo_Program289101112131415161718525354[[#This Row],[J4 TOTAL]])+1</f>
        <v>2</v>
      </c>
      <c r="Y3" s="23">
        <f>SUM(Twirling_Solo_Program289101112131415161718525354[[#This Row],[J1 TOTAL]]+Twirling_Solo_Program289101112131415161718525354[[#This Row],[J2 TOTAL]]+Twirling_Solo_Program289101112131415161718525354[[#This Row],[J3 TOTAL]]+Twirling_Solo_Program289101112131415161718525354[[#This Row],[J4 TOTAL]])</f>
        <v>56.900000000000006</v>
      </c>
      <c r="Z3" s="23"/>
      <c r="AA3" s="23"/>
      <c r="AB3" s="23">
        <f>SUM(Twirling_Solo_Program289101112131415161718525354[[#This Row],[Total]]-Twirling_Solo_Program289101112131415161718525354[[#This Row],[Low]]-Twirling_Solo_Program289101112131415161718525354[[#This Row],[High]])</f>
        <v>56.900000000000006</v>
      </c>
      <c r="AC3" s="23">
        <f t="shared" si="0"/>
        <v>28.65</v>
      </c>
      <c r="AD3" s="24">
        <f>Twirling_Solo_Program289101112131415161718525354[[#This Row],[Final Total]]</f>
        <v>56.900000000000006</v>
      </c>
      <c r="AE3" s="25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Row],[Category]],Twirling_Solo_Program289101112131415161718525354[FINAL SCORE],"&gt;"&amp;Twirling_Solo_Program289101112131415161718525354[[#This Row],[FINAL SCORE]])+1</f>
        <v>2</v>
      </c>
      <c r="AF3" s="16" t="s">
        <v>35</v>
      </c>
    </row>
    <row r="4" spans="1:51" x14ac:dyDescent="0.3">
      <c r="A4" s="16">
        <v>2</v>
      </c>
      <c r="B4" s="17">
        <v>2</v>
      </c>
      <c r="C4" s="17" t="s">
        <v>49</v>
      </c>
      <c r="D4" s="17" t="s">
        <v>27</v>
      </c>
      <c r="E4" s="17" t="s">
        <v>50</v>
      </c>
      <c r="F4" s="17" t="s">
        <v>77</v>
      </c>
      <c r="G4" s="17" t="s">
        <v>58</v>
      </c>
      <c r="H4" s="18" t="s">
        <v>25</v>
      </c>
      <c r="I4" s="19"/>
      <c r="J4" s="20"/>
      <c r="K4" s="21">
        <f>Twirling_Solo_Program289101112131415161718525354[[#This Row],[Judge 1
Tamara Beljak]]-J4</f>
        <v>0</v>
      </c>
      <c r="L4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Row],[Category]],Twirling_Solo_Program289101112131415161718525354[J1 TOTAL],"&gt;"&amp;Twirling_Solo_Program289101112131415161718525354[[#This Row],[J1 TOTAL]])+1</f>
        <v>1</v>
      </c>
      <c r="M4" s="19">
        <v>27.8</v>
      </c>
      <c r="N4" s="20">
        <v>0</v>
      </c>
      <c r="O4" s="21">
        <f>Twirling_Solo_Program289101112131415161718525354[[#This Row],[Judge 2
Tihomir Bendelja]]-Twirling_Solo_Program289101112131415161718525354[[#This Row],[J2 (-)]]</f>
        <v>27.8</v>
      </c>
      <c r="P4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Row],[Category]],Twirling_Solo_Program289101112131415161718525354[J2 TOTAL],"&gt;"&amp;Twirling_Solo_Program289101112131415161718525354[[#This Row],[J2 TOTAL]])+1</f>
        <v>3</v>
      </c>
      <c r="Q4" s="19"/>
      <c r="R4" s="20"/>
      <c r="S4" s="21">
        <f>Twirling_Solo_Program289101112131415161718525354[[#This Row],[Judge 3
Barbara Novina]]-R4</f>
        <v>0</v>
      </c>
      <c r="T4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Row],[Category]],Twirling_Solo_Program289101112131415161718525354[J3 TOTAL],"&gt;"&amp;Twirling_Solo_Program289101112131415161718525354[[#This Row],[J3 TOTAL]])+1</f>
        <v>1</v>
      </c>
      <c r="U4" s="19">
        <v>28.6</v>
      </c>
      <c r="V4" s="20">
        <v>0</v>
      </c>
      <c r="W4" s="21">
        <f>Twirling_Solo_Program289101112131415161718525354[[#This Row],[Judge 4
Bernard Barač]]-V4</f>
        <v>28.6</v>
      </c>
      <c r="X4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Row],[Category]],Twirling_Solo_Program289101112131415161718525354[J4 TOTAL],"&gt;"&amp;Twirling_Solo_Program289101112131415161718525354[[#This Row],[J4 TOTAL]])+1</f>
        <v>3</v>
      </c>
      <c r="Y4" s="23">
        <f>SUM(Twirling_Solo_Program289101112131415161718525354[[#This Row],[J1 TOTAL]]+Twirling_Solo_Program289101112131415161718525354[[#This Row],[J2 TOTAL]]+Twirling_Solo_Program289101112131415161718525354[[#This Row],[J3 TOTAL]]+Twirling_Solo_Program289101112131415161718525354[[#This Row],[J4 TOTAL]])</f>
        <v>56.400000000000006</v>
      </c>
      <c r="Z4" s="23"/>
      <c r="AA4" s="23"/>
      <c r="AB4" s="23">
        <f>SUM(Twirling_Solo_Program289101112131415161718525354[[#This Row],[Total]]-Twirling_Solo_Program289101112131415161718525354[[#This Row],[Low]]-Twirling_Solo_Program289101112131415161718525354[[#This Row],[High]])</f>
        <v>56.400000000000006</v>
      </c>
      <c r="AC4" s="23">
        <f t="shared" si="0"/>
        <v>28.200000000000003</v>
      </c>
      <c r="AD4" s="24">
        <f>Twirling_Solo_Program289101112131415161718525354[[#This Row],[Final Total]]</f>
        <v>56.400000000000006</v>
      </c>
      <c r="AE4" s="25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Row],[Category]],Twirling_Solo_Program289101112131415161718525354[FINAL SCORE],"&gt;"&amp;Twirling_Solo_Program289101112131415161718525354[[#This Row],[FINAL SCORE]])+1</f>
        <v>3</v>
      </c>
      <c r="AF4" s="16" t="s">
        <v>35</v>
      </c>
    </row>
    <row r="5" spans="1:51" x14ac:dyDescent="0.3">
      <c r="A5" s="16">
        <v>4</v>
      </c>
      <c r="B5" s="17">
        <v>2</v>
      </c>
      <c r="C5" s="17" t="s">
        <v>49</v>
      </c>
      <c r="D5" s="17" t="s">
        <v>27</v>
      </c>
      <c r="E5" s="17" t="s">
        <v>50</v>
      </c>
      <c r="F5" s="17" t="s">
        <v>78</v>
      </c>
      <c r="G5" s="17" t="s">
        <v>79</v>
      </c>
      <c r="H5" s="18" t="s">
        <v>25</v>
      </c>
      <c r="I5" s="19"/>
      <c r="J5" s="20"/>
      <c r="K5" s="21">
        <f>Twirling_Solo_Program289101112131415161718525354[[#This Row],[Judge 1
Tamara Beljak]]-J5</f>
        <v>0</v>
      </c>
      <c r="L5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Row],[Category]],Twirling_Solo_Program289101112131415161718525354[J1 TOTAL],"&gt;"&amp;Twirling_Solo_Program289101112131415161718525354[[#This Row],[J1 TOTAL]])+1</f>
        <v>1</v>
      </c>
      <c r="M5" s="19">
        <v>25.5</v>
      </c>
      <c r="N5" s="20">
        <v>0.1</v>
      </c>
      <c r="O5" s="21">
        <f>Twirling_Solo_Program289101112131415161718525354[[#This Row],[Judge 2
Tihomir Bendelja]]-Twirling_Solo_Program289101112131415161718525354[[#This Row],[J2 (-)]]</f>
        <v>25.4</v>
      </c>
      <c r="P5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Row],[Category]],Twirling_Solo_Program289101112131415161718525354[J2 TOTAL],"&gt;"&amp;Twirling_Solo_Program289101112131415161718525354[[#This Row],[J2 TOTAL]])+1</f>
        <v>4</v>
      </c>
      <c r="Q5" s="19"/>
      <c r="R5" s="20"/>
      <c r="S5" s="21">
        <f>Twirling_Solo_Program289101112131415161718525354[[#This Row],[Judge 3
Barbara Novina]]-R5</f>
        <v>0</v>
      </c>
      <c r="T5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Row],[Category]],Twirling_Solo_Program289101112131415161718525354[J3 TOTAL],"&gt;"&amp;Twirling_Solo_Program289101112131415161718525354[[#This Row],[J3 TOTAL]])+1</f>
        <v>1</v>
      </c>
      <c r="U5" s="19">
        <v>24.8</v>
      </c>
      <c r="V5" s="20">
        <v>0.1</v>
      </c>
      <c r="W5" s="21">
        <f>Twirling_Solo_Program289101112131415161718525354[[#This Row],[Judge 4
Bernard Barač]]-V5</f>
        <v>24.7</v>
      </c>
      <c r="X5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Row],[Category]],Twirling_Solo_Program289101112131415161718525354[J4 TOTAL],"&gt;"&amp;Twirling_Solo_Program289101112131415161718525354[[#This Row],[J4 TOTAL]])+1</f>
        <v>4</v>
      </c>
      <c r="Y5" s="23">
        <f>SUM(Twirling_Solo_Program289101112131415161718525354[[#This Row],[J1 TOTAL]]+Twirling_Solo_Program289101112131415161718525354[[#This Row],[J2 TOTAL]]+Twirling_Solo_Program289101112131415161718525354[[#This Row],[J3 TOTAL]]+Twirling_Solo_Program289101112131415161718525354[[#This Row],[J4 TOTAL]])</f>
        <v>50.099999999999994</v>
      </c>
      <c r="Z5" s="23"/>
      <c r="AA5" s="23"/>
      <c r="AB5" s="23">
        <f>SUM(Twirling_Solo_Program289101112131415161718525354[[#This Row],[Total]]-Twirling_Solo_Program289101112131415161718525354[[#This Row],[Low]]-Twirling_Solo_Program289101112131415161718525354[[#This Row],[High]])</f>
        <v>50.099999999999994</v>
      </c>
      <c r="AC5" s="23">
        <f t="shared" si="0"/>
        <v>25.15</v>
      </c>
      <c r="AD5" s="24">
        <f>Twirling_Solo_Program289101112131415161718525354[[#This Row],[Final Total]]</f>
        <v>50.099999999999994</v>
      </c>
      <c r="AE5" s="25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Row],[Category]],Twirling_Solo_Program289101112131415161718525354[FINAL SCORE],"&gt;"&amp;Twirling_Solo_Program289101112131415161718525354[[#This Row],[FINAL SCORE]])+1</f>
        <v>4</v>
      </c>
      <c r="AF5" s="16" t="s">
        <v>35</v>
      </c>
    </row>
    <row r="6" spans="1:51" x14ac:dyDescent="0.3">
      <c r="A6" s="16">
        <v>12</v>
      </c>
      <c r="B6" s="17">
        <v>2</v>
      </c>
      <c r="C6" s="17" t="s">
        <v>49</v>
      </c>
      <c r="D6" s="17" t="s">
        <v>27</v>
      </c>
      <c r="E6" s="17" t="s">
        <v>50</v>
      </c>
      <c r="F6" s="17" t="s">
        <v>83</v>
      </c>
      <c r="G6" s="17" t="s">
        <v>58</v>
      </c>
      <c r="H6" s="18" t="s">
        <v>25</v>
      </c>
      <c r="I6" s="19"/>
      <c r="J6" s="20"/>
      <c r="K6" s="21">
        <f>Twirling_Solo_Program289101112131415161718525354[[#This Row],[Judge 1
Tamara Beljak]]-J6</f>
        <v>0</v>
      </c>
      <c r="L6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Row],[Category]],Twirling_Solo_Program289101112131415161718525354[J1 TOTAL],"&gt;"&amp;Twirling_Solo_Program289101112131415161718525354[[#This Row],[J1 TOTAL]])+1</f>
        <v>1</v>
      </c>
      <c r="M6" s="19">
        <v>21.5</v>
      </c>
      <c r="N6" s="20">
        <v>0.2</v>
      </c>
      <c r="O6" s="21">
        <f>Twirling_Solo_Program289101112131415161718525354[[#This Row],[Judge 2
Tihomir Bendelja]]-Twirling_Solo_Program289101112131415161718525354[[#This Row],[J2 (-)]]</f>
        <v>21.3</v>
      </c>
      <c r="P6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Row],[Category]],Twirling_Solo_Program289101112131415161718525354[J2 TOTAL],"&gt;"&amp;Twirling_Solo_Program289101112131415161718525354[[#This Row],[J2 TOTAL]])+1</f>
        <v>5</v>
      </c>
      <c r="Q6" s="19"/>
      <c r="R6" s="20"/>
      <c r="S6" s="21">
        <f>Twirling_Solo_Program289101112131415161718525354[[#This Row],[Judge 3
Barbara Novina]]-R6</f>
        <v>0</v>
      </c>
      <c r="T6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Row],[Category]],Twirling_Solo_Program289101112131415161718525354[J3 TOTAL],"&gt;"&amp;Twirling_Solo_Program289101112131415161718525354[[#This Row],[J3 TOTAL]])+1</f>
        <v>1</v>
      </c>
      <c r="U6" s="19">
        <v>24.1</v>
      </c>
      <c r="V6" s="20">
        <v>0.2</v>
      </c>
      <c r="W6" s="21">
        <f>Twirling_Solo_Program289101112131415161718525354[[#This Row],[Judge 4
Bernard Barač]]-V6</f>
        <v>23.900000000000002</v>
      </c>
      <c r="X6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Row],[Category]],Twirling_Solo_Program289101112131415161718525354[J4 TOTAL],"&gt;"&amp;Twirling_Solo_Program289101112131415161718525354[[#This Row],[J4 TOTAL]])+1</f>
        <v>5</v>
      </c>
      <c r="Y6" s="23">
        <f>SUM(Twirling_Solo_Program289101112131415161718525354[[#This Row],[J1 TOTAL]]+Twirling_Solo_Program289101112131415161718525354[[#This Row],[J2 TOTAL]]+Twirling_Solo_Program289101112131415161718525354[[#This Row],[J3 TOTAL]]+Twirling_Solo_Program289101112131415161718525354[[#This Row],[J4 TOTAL]])</f>
        <v>45.2</v>
      </c>
      <c r="Z6" s="23"/>
      <c r="AA6" s="23"/>
      <c r="AB6" s="23">
        <f>SUM(Twirling_Solo_Program289101112131415161718525354[[#This Row],[Total]]-Twirling_Solo_Program289101112131415161718525354[[#This Row],[Low]]-Twirling_Solo_Program289101112131415161718525354[[#This Row],[High]])</f>
        <v>45.2</v>
      </c>
      <c r="AC6" s="23">
        <f t="shared" si="0"/>
        <v>22.8</v>
      </c>
      <c r="AD6" s="24">
        <f>Twirling_Solo_Program289101112131415161718525354[[#This Row],[Final Total]]</f>
        <v>45.2</v>
      </c>
      <c r="AE6" s="25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Row],[Category]],Twirling_Solo_Program289101112131415161718525354[FINAL SCORE],"&gt;"&amp;Twirling_Solo_Program289101112131415161718525354[[#This Row],[FINAL SCORE]])+1</f>
        <v>5</v>
      </c>
      <c r="AF6" s="16" t="s">
        <v>35</v>
      </c>
    </row>
    <row r="7" spans="1:51" x14ac:dyDescent="0.3">
      <c r="A7" s="16">
        <v>10</v>
      </c>
      <c r="B7" s="17">
        <v>2</v>
      </c>
      <c r="C7" s="17" t="s">
        <v>49</v>
      </c>
      <c r="D7" s="17" t="s">
        <v>27</v>
      </c>
      <c r="E7" s="17" t="s">
        <v>50</v>
      </c>
      <c r="F7" s="17" t="s">
        <v>82</v>
      </c>
      <c r="G7" s="17" t="s">
        <v>52</v>
      </c>
      <c r="H7" s="18" t="s">
        <v>25</v>
      </c>
      <c r="I7" s="19"/>
      <c r="J7" s="20"/>
      <c r="K7" s="21">
        <f>Twirling_Solo_Program289101112131415161718525354[[#This Row],[Judge 1
Tamara Beljak]]-J7</f>
        <v>0</v>
      </c>
      <c r="L7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Row],[Category]],Twirling_Solo_Program289101112131415161718525354[J1 TOTAL],"&gt;"&amp;Twirling_Solo_Program289101112131415161718525354[[#This Row],[J1 TOTAL]])+1</f>
        <v>1</v>
      </c>
      <c r="M7" s="19">
        <v>21.5</v>
      </c>
      <c r="N7" s="20">
        <v>0.3</v>
      </c>
      <c r="O7" s="21">
        <f>Twirling_Solo_Program289101112131415161718525354[[#This Row],[Judge 2
Tihomir Bendelja]]-Twirling_Solo_Program289101112131415161718525354[[#This Row],[J2 (-)]]</f>
        <v>21.2</v>
      </c>
      <c r="P7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Row],[Category]],Twirling_Solo_Program289101112131415161718525354[J2 TOTAL],"&gt;"&amp;Twirling_Solo_Program289101112131415161718525354[[#This Row],[J2 TOTAL]])+1</f>
        <v>6</v>
      </c>
      <c r="Q7" s="19"/>
      <c r="R7" s="20"/>
      <c r="S7" s="21">
        <f>Twirling_Solo_Program289101112131415161718525354[[#This Row],[Judge 3
Barbara Novina]]-R7</f>
        <v>0</v>
      </c>
      <c r="T7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Row],[Category]],Twirling_Solo_Program289101112131415161718525354[J3 TOTAL],"&gt;"&amp;Twirling_Solo_Program289101112131415161718525354[[#This Row],[J3 TOTAL]])+1</f>
        <v>1</v>
      </c>
      <c r="U7" s="19">
        <v>24.2</v>
      </c>
      <c r="V7" s="20">
        <v>0.3</v>
      </c>
      <c r="W7" s="21">
        <f>Twirling_Solo_Program289101112131415161718525354[[#This Row],[Judge 4
Bernard Barač]]-V7</f>
        <v>23.9</v>
      </c>
      <c r="X7" s="22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Row],[Category]],Twirling_Solo_Program289101112131415161718525354[J4 TOTAL],"&gt;"&amp;Twirling_Solo_Program289101112131415161718525354[[#This Row],[J4 TOTAL]])+1</f>
        <v>5</v>
      </c>
      <c r="Y7" s="23">
        <f>SUM(Twirling_Solo_Program289101112131415161718525354[[#This Row],[J1 TOTAL]]+Twirling_Solo_Program289101112131415161718525354[[#This Row],[J2 TOTAL]]+Twirling_Solo_Program289101112131415161718525354[[#This Row],[J3 TOTAL]]+Twirling_Solo_Program289101112131415161718525354[[#This Row],[J4 TOTAL]])</f>
        <v>45.099999999999994</v>
      </c>
      <c r="Z7" s="23"/>
      <c r="AA7" s="23"/>
      <c r="AB7" s="23">
        <f>SUM(Twirling_Solo_Program289101112131415161718525354[[#This Row],[Total]]-Twirling_Solo_Program289101112131415161718525354[[#This Row],[Low]]-Twirling_Solo_Program289101112131415161718525354[[#This Row],[High]])</f>
        <v>45.099999999999994</v>
      </c>
      <c r="AC7" s="23">
        <f t="shared" si="0"/>
        <v>22.85</v>
      </c>
      <c r="AD7" s="24">
        <f>Twirling_Solo_Program289101112131415161718525354[[#This Row],[Final Total]]</f>
        <v>45.099999999999994</v>
      </c>
      <c r="AE7" s="25">
        <f>COUNTIFS(Twirling_Solo_Program289101112131415161718525354[Age
Division],Twirling_Solo_Program289101112131415161718525354[[#This Row],[Age
Division]],Twirling_Solo_Program289101112131415161718525354[Category],Twirling_Solo_Program289101112131415161718525354[[#This Row],[Category]],Twirling_Solo_Program289101112131415161718525354[FINAL SCORE],"&gt;"&amp;Twirling_Solo_Program289101112131415161718525354[[#This Row],[FINAL SCORE]])+1</f>
        <v>6</v>
      </c>
      <c r="AF7" s="16" t="s">
        <v>35</v>
      </c>
    </row>
  </sheetData>
  <sheetProtection algorithmName="SHA-512" hashValue="hg/N2+oyPh7caN4t00fBKA+G5GHOnZqGIwBVZdVZGHaFYoTSRUvVwDuev/Ixhe7vMv7UxJL46WXFcSqBSCEZ8Q==" saltValue="iqbFZCoCuCmqO2W7DVdsY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1" width="5.85546875" style="27" customWidth="1"/>
    <col min="2" max="2" width="4.42578125" style="27" hidden="1" customWidth="1"/>
    <col min="3" max="3" width="13.7109375" style="27" customWidth="1"/>
    <col min="4" max="4" width="9.28515625" style="28" customWidth="1"/>
    <col min="5" max="5" width="12" style="28" hidden="1" customWidth="1"/>
    <col min="6" max="6" width="26.140625" style="18" hidden="1" customWidth="1"/>
    <col min="7" max="7" width="40.7109375" style="18" customWidth="1"/>
    <col min="8" max="8" width="10" style="18" customWidth="1"/>
    <col min="9" max="24" width="9.140625" style="18" customWidth="1"/>
    <col min="25" max="25" width="9.140625" style="14" customWidth="1"/>
    <col min="26" max="29" width="9.7109375" style="18" customWidth="1"/>
    <col min="30" max="30" width="7.5703125" style="18" customWidth="1"/>
    <col min="31" max="31" width="5.42578125" style="18" customWidth="1"/>
    <col min="32" max="32" width="0" style="18" hidden="1" customWidth="1"/>
    <col min="33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165</v>
      </c>
      <c r="B2" s="17"/>
      <c r="C2" s="17" t="s">
        <v>192</v>
      </c>
      <c r="D2" s="17" t="s">
        <v>29</v>
      </c>
      <c r="E2" s="62"/>
      <c r="F2" s="17"/>
      <c r="G2" s="17" t="s">
        <v>79</v>
      </c>
      <c r="H2" s="18" t="s">
        <v>25</v>
      </c>
      <c r="I2" s="19">
        <v>100</v>
      </c>
      <c r="J2" s="20">
        <v>1</v>
      </c>
      <c r="K2" s="21">
        <f>Twirling_Solo_Program28910111213141516171852535455565758606163656768697273747576777879808182838485868788[[#This Row],[Judge 1
Tamara Beljak]]-J2</f>
        <v>99</v>
      </c>
      <c r="L2" s="22">
        <f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Row],[Category]],Twirling_Solo_Program28910111213141516171852535455565758606163656768697273747576777879808182838485868788[J1 TOTAL],"&gt;"&amp;Twirling_Solo_Program28910111213141516171852535455565758606163656768697273747576777879808182838485868788[[#This Row],[J1 TOTAL]])+1</f>
        <v>1</v>
      </c>
      <c r="M2" s="19">
        <v>100</v>
      </c>
      <c r="N2" s="20">
        <v>1</v>
      </c>
      <c r="O2" s="21">
        <f>Twirling_Solo_Program28910111213141516171852535455565758606163656768697273747576777879808182838485868788[[#This Row],[Judge 2
Tihomir Bendelja]]-Twirling_Solo_Program28910111213141516171852535455565758606163656768697273747576777879808182838485868788[[#This Row],[J2 (-)]]</f>
        <v>99</v>
      </c>
      <c r="P2" s="22">
        <f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Row],[Category]],Twirling_Solo_Program28910111213141516171852535455565758606163656768697273747576777879808182838485868788[J2 TOTAL],"&gt;"&amp;Twirling_Solo_Program28910111213141516171852535455565758606163656768697273747576777879808182838485868788[[#This Row],[J2 TOTAL]])+1</f>
        <v>1</v>
      </c>
      <c r="Q2" s="19">
        <v>100</v>
      </c>
      <c r="R2" s="20">
        <v>1</v>
      </c>
      <c r="S2" s="21">
        <f>Twirling_Solo_Program28910111213141516171852535455565758606163656768697273747576777879808182838485868788[[#This Row],[Judge 3
Barbara Novina]]-R2</f>
        <v>99</v>
      </c>
      <c r="T2" s="22">
        <f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Row],[Category]],Twirling_Solo_Program28910111213141516171852535455565758606163656768697273747576777879808182838485868788[J3 TOTAL],"&gt;"&amp;Twirling_Solo_Program28910111213141516171852535455565758606163656768697273747576777879808182838485868788[[#This Row],[J3 TOTAL]])+1</f>
        <v>1</v>
      </c>
      <c r="U2" s="19">
        <v>100</v>
      </c>
      <c r="V2" s="20">
        <v>1</v>
      </c>
      <c r="W2" s="21">
        <f>Twirling_Solo_Program28910111213141516171852535455565758606163656768697273747576777879808182838485868788[[#This Row],[Judge 4
Bernard Barač]]-V2</f>
        <v>99</v>
      </c>
      <c r="X2" s="22">
        <f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Row],[Category]],Twirling_Solo_Program28910111213141516171852535455565758606163656768697273747576777879808182838485868788[J4 TOTAL],"&gt;"&amp;Twirling_Solo_Program28910111213141516171852535455565758606163656768697273747576777879808182838485868788[[#This Row],[J4 TOTAL]])+1</f>
        <v>1</v>
      </c>
      <c r="Y2" s="23">
        <f>SUM(Twirling_Solo_Program28910111213141516171852535455565758606163656768697273747576777879808182838485868788[[#This Row],[J1 TOTAL]]+Twirling_Solo_Program28910111213141516171852535455565758606163656768697273747576777879808182838485868788[[#This Row],[J2 TOTAL]]+Twirling_Solo_Program28910111213141516171852535455565758606163656768697273747576777879808182838485868788[[#This Row],[J3 TOTAL]]+Twirling_Solo_Program28910111213141516171852535455565758606163656768697273747576777879808182838485868788[[#This Row],[J4 TOTAL]])</f>
        <v>396</v>
      </c>
      <c r="Z2" s="23">
        <f>MIN(Twirling_Solo_Program28910111213141516171852535455565758606163656768697273747576777879808182838485868788[[#This Row],[J1 TOTAL]],Twirling_Solo_Program28910111213141516171852535455565758606163656768697273747576777879808182838485868788[[#This Row],[J2 TOTAL]],Twirling_Solo_Program28910111213141516171852535455565758606163656768697273747576777879808182838485868788[[#This Row],[J3 TOTAL]],Twirling_Solo_Program28910111213141516171852535455565758606163656768697273747576777879808182838485868788[[#This Row],[J4 TOTAL]])</f>
        <v>99</v>
      </c>
      <c r="AA2" s="23">
        <f>MAX(Twirling_Solo_Program28910111213141516171852535455565758606163656768697273747576777879808182838485868788[[#This Row],[J1 TOTAL]],Twirling_Solo_Program28910111213141516171852535455565758606163656768697273747576777879808182838485868788[[#This Row],[J2 TOTAL]],Twirling_Solo_Program28910111213141516171852535455565758606163656768697273747576777879808182838485868788[[#This Row],[J3 TOTAL]],Twirling_Solo_Program28910111213141516171852535455565758606163656768697273747576777879808182838485868788[[#This Row],[J4 TOTAL]])</f>
        <v>99</v>
      </c>
      <c r="AB2" s="23">
        <f>SUM(Twirling_Solo_Program28910111213141516171852535455565758606163656768697273747576777879808182838485868788[[#This Row],[Total]]-Twirling_Solo_Program28910111213141516171852535455565758606163656768697273747576777879808182838485868788[[#This Row],[Low]]-Twirling_Solo_Program28910111213141516171852535455565758606163656768697273747576777879808182838485868788[[#This Row],[High]])</f>
        <v>198</v>
      </c>
      <c r="AC2" s="23">
        <f>AVERAGE(I2,M2,Q2,U2)</f>
        <v>100</v>
      </c>
      <c r="AD2" s="24">
        <f>Twirling_Solo_Program28910111213141516171852535455565758606163656768697273747576777879808182838485868788[[#This Row],[Final Total]]</f>
        <v>198</v>
      </c>
      <c r="AE2" s="25">
        <f>COUNTIFS(Twirling_Solo_Program28910111213141516171852535455565758606163656768697273747576777879808182838485868788[Age
Division],Twirling_Solo_Program28910111213141516171852535455565758606163656768697273747576777879808182838485868788[[#This Row],[Age
Division]],Twirling_Solo_Program28910111213141516171852535455565758606163656768697273747576777879808182838485868788[Category],Twirling_Solo_Program28910111213141516171852535455565758606163656768697273747576777879808182838485868788[[#This Row],[Category]],Twirling_Solo_Program28910111213141516171852535455565758606163656768697273747576777879808182838485868788[FINAL SCORE],"&gt;"&amp;Twirling_Solo_Program28910111213141516171852535455565758606163656768697273747576777879808182838485868788[[#This Row],[FINAL SCORE]])+1</f>
        <v>1</v>
      </c>
      <c r="AF2" s="16" t="s">
        <v>26</v>
      </c>
    </row>
  </sheetData>
  <sheetProtection algorithmName="SHA-512" hashValue="Prg+ycoVGH1iv0HXvDdu7iEC26zKIGYBY1jtjNd5MJC6ERKBZT1nAw7GSlChgUCCAfv3x1yl86lXMNoSg5QhWQ==" saltValue="uGhW+Ap4HEy26d1pY2BZsw==" spinCount="100000" sheet="1" objects="1" scenarios="1" formatColumns="0" formatRows="0" autoFilter="0"/>
  <pageMargins left="0.7" right="0.7" top="0.75" bottom="0.75" header="0.3" footer="0.3"/>
  <pageSetup orientation="landscape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3.140625" style="27" customWidth="1"/>
    <col min="4" max="4" width="8.5703125" style="28" customWidth="1"/>
    <col min="5" max="5" width="10.5703125" style="28" customWidth="1"/>
    <col min="6" max="6" width="16.42578125" style="18" customWidth="1"/>
    <col min="7" max="7" width="43.28515625" style="18" bestFit="1" customWidth="1"/>
    <col min="8" max="8" width="9.28515625" style="18" customWidth="1"/>
    <col min="9" max="12" width="9.140625" style="18" customWidth="1"/>
    <col min="13" max="16" width="9.140625" style="18" hidden="1" customWidth="1"/>
    <col min="17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13</v>
      </c>
      <c r="B2" s="17">
        <v>1</v>
      </c>
      <c r="C2" s="17" t="s">
        <v>49</v>
      </c>
      <c r="D2" s="17" t="s">
        <v>27</v>
      </c>
      <c r="E2" s="17" t="s">
        <v>66</v>
      </c>
      <c r="F2" s="17" t="s">
        <v>68</v>
      </c>
      <c r="G2" s="17" t="s">
        <v>58</v>
      </c>
      <c r="H2" s="18" t="s">
        <v>25</v>
      </c>
      <c r="I2" s="19">
        <v>28</v>
      </c>
      <c r="J2" s="20">
        <v>0.1</v>
      </c>
      <c r="K2" s="21">
        <f>Twirling_Solo_Program28910111213141516171852[[#This Row],[Judge 1
Tamara Beljak]]-J2</f>
        <v>27.9</v>
      </c>
      <c r="L2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Row],[Category]],Twirling_Solo_Program28910111213141516171852[J1 TOTAL],"&gt;"&amp;Twirling_Solo_Program28910111213141516171852[[#This Row],[J1 TOTAL]])+1</f>
        <v>1</v>
      </c>
      <c r="M2" s="19"/>
      <c r="N2" s="20"/>
      <c r="O2" s="21">
        <f>Twirling_Solo_Program28910111213141516171852[[#This Row],[Judge 2
Tihomir Bendelja]]-Twirling_Solo_Program28910111213141516171852[[#This Row],[J2 (-)]]</f>
        <v>0</v>
      </c>
      <c r="P2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Row],[Category]],Twirling_Solo_Program28910111213141516171852[J2 TOTAL],"&gt;"&amp;Twirling_Solo_Program28910111213141516171852[[#This Row],[J2 TOTAL]])+1</f>
        <v>1</v>
      </c>
      <c r="Q2" s="19">
        <v>26.4</v>
      </c>
      <c r="R2" s="20">
        <v>0.1</v>
      </c>
      <c r="S2" s="21">
        <f>Twirling_Solo_Program28910111213141516171852[[#This Row],[Judge 3
Barbara Novina]]-R2</f>
        <v>26.299999999999997</v>
      </c>
      <c r="T2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Row],[Category]],Twirling_Solo_Program28910111213141516171852[J3 TOTAL],"&gt;"&amp;Twirling_Solo_Program28910111213141516171852[[#This Row],[J3 TOTAL]])+1</f>
        <v>1</v>
      </c>
      <c r="U2" s="19"/>
      <c r="V2" s="20"/>
      <c r="W2" s="21">
        <f>Twirling_Solo_Program28910111213141516171852[[#This Row],[Judge 4
Bernard Barač]]-V2</f>
        <v>0</v>
      </c>
      <c r="X2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Row],[Category]],Twirling_Solo_Program28910111213141516171852[J4 TOTAL],"&gt;"&amp;Twirling_Solo_Program28910111213141516171852[[#This Row],[J4 TOTAL]])+1</f>
        <v>1</v>
      </c>
      <c r="Y2" s="23">
        <f>SUM(Twirling_Solo_Program28910111213141516171852[[#This Row],[J1 TOTAL]]+Twirling_Solo_Program28910111213141516171852[[#This Row],[J2 TOTAL]]+Twirling_Solo_Program28910111213141516171852[[#This Row],[J3 TOTAL]]+Twirling_Solo_Program28910111213141516171852[[#This Row],[J4 TOTAL]])</f>
        <v>54.199999999999996</v>
      </c>
      <c r="Z2" s="23"/>
      <c r="AA2" s="23"/>
      <c r="AB2" s="23">
        <f>SUM(Twirling_Solo_Program28910111213141516171852[[#This Row],[Total]]-Twirling_Solo_Program28910111213141516171852[[#This Row],[Low]]-Twirling_Solo_Program28910111213141516171852[[#This Row],[High]])</f>
        <v>54.199999999999996</v>
      </c>
      <c r="AC2" s="23">
        <f>AVERAGE(I2,M2,Q2,U2)</f>
        <v>27.2</v>
      </c>
      <c r="AD2" s="24">
        <f>Twirling_Solo_Program28910111213141516171852[[#This Row],[Final Total]]</f>
        <v>54.199999999999996</v>
      </c>
      <c r="AE2" s="25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Row],[Category]],Twirling_Solo_Program28910111213141516171852[FINAL SCORE],"&gt;"&amp;Twirling_Solo_Program28910111213141516171852[[#This Row],[FINAL SCORE]])+1</f>
        <v>1</v>
      </c>
      <c r="AF2" s="16" t="s">
        <v>35</v>
      </c>
    </row>
    <row r="3" spans="1:51" x14ac:dyDescent="0.3">
      <c r="A3" s="16">
        <v>15</v>
      </c>
      <c r="B3" s="17">
        <v>1</v>
      </c>
      <c r="C3" s="17" t="s">
        <v>49</v>
      </c>
      <c r="D3" s="17" t="s">
        <v>27</v>
      </c>
      <c r="E3" s="17" t="s">
        <v>66</v>
      </c>
      <c r="F3" s="17" t="s">
        <v>69</v>
      </c>
      <c r="G3" s="17" t="s">
        <v>58</v>
      </c>
      <c r="H3" s="18" t="s">
        <v>25</v>
      </c>
      <c r="I3" s="19">
        <v>27.9</v>
      </c>
      <c r="J3" s="20">
        <v>0.3</v>
      </c>
      <c r="K3" s="21">
        <f>Twirling_Solo_Program28910111213141516171852[[#This Row],[Judge 1
Tamara Beljak]]-J3</f>
        <v>27.599999999999998</v>
      </c>
      <c r="L3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Row],[Category]],Twirling_Solo_Program28910111213141516171852[J1 TOTAL],"&gt;"&amp;Twirling_Solo_Program28910111213141516171852[[#This Row],[J1 TOTAL]])+1</f>
        <v>2</v>
      </c>
      <c r="M3" s="19"/>
      <c r="N3" s="20"/>
      <c r="O3" s="21">
        <f>Twirling_Solo_Program28910111213141516171852[[#This Row],[Judge 2
Tihomir Bendelja]]-Twirling_Solo_Program28910111213141516171852[[#This Row],[J2 (-)]]</f>
        <v>0</v>
      </c>
      <c r="P3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Row],[Category]],Twirling_Solo_Program28910111213141516171852[J2 TOTAL],"&gt;"&amp;Twirling_Solo_Program28910111213141516171852[[#This Row],[J2 TOTAL]])+1</f>
        <v>1</v>
      </c>
      <c r="Q3" s="19">
        <v>26.3</v>
      </c>
      <c r="R3" s="20">
        <v>0.3</v>
      </c>
      <c r="S3" s="21">
        <f>Twirling_Solo_Program28910111213141516171852[[#This Row],[Judge 3
Barbara Novina]]-R3</f>
        <v>26</v>
      </c>
      <c r="T3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Row],[Category]],Twirling_Solo_Program28910111213141516171852[J3 TOTAL],"&gt;"&amp;Twirling_Solo_Program28910111213141516171852[[#This Row],[J3 TOTAL]])+1</f>
        <v>2</v>
      </c>
      <c r="U3" s="19"/>
      <c r="V3" s="20"/>
      <c r="W3" s="21">
        <f>Twirling_Solo_Program28910111213141516171852[[#This Row],[Judge 4
Bernard Barač]]-V3</f>
        <v>0</v>
      </c>
      <c r="X3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Row],[Category]],Twirling_Solo_Program28910111213141516171852[J4 TOTAL],"&gt;"&amp;Twirling_Solo_Program28910111213141516171852[[#This Row],[J4 TOTAL]])+1</f>
        <v>1</v>
      </c>
      <c r="Y3" s="23">
        <f>SUM(Twirling_Solo_Program28910111213141516171852[[#This Row],[J1 TOTAL]]+Twirling_Solo_Program28910111213141516171852[[#This Row],[J2 TOTAL]]+Twirling_Solo_Program28910111213141516171852[[#This Row],[J3 TOTAL]]+Twirling_Solo_Program28910111213141516171852[[#This Row],[J4 TOTAL]])</f>
        <v>53.599999999999994</v>
      </c>
      <c r="Z3" s="23"/>
      <c r="AA3" s="23"/>
      <c r="AB3" s="23">
        <f>SUM(Twirling_Solo_Program28910111213141516171852[[#This Row],[Total]]-Twirling_Solo_Program28910111213141516171852[[#This Row],[Low]]-Twirling_Solo_Program28910111213141516171852[[#This Row],[High]])</f>
        <v>53.599999999999994</v>
      </c>
      <c r="AC3" s="23">
        <f>AVERAGE(I3,M3,Q3,U3)</f>
        <v>27.1</v>
      </c>
      <c r="AD3" s="24">
        <f>Twirling_Solo_Program28910111213141516171852[[#This Row],[Final Total]]</f>
        <v>53.599999999999994</v>
      </c>
      <c r="AE3" s="25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Row],[Category]],Twirling_Solo_Program28910111213141516171852[FINAL SCORE],"&gt;"&amp;Twirling_Solo_Program28910111213141516171852[[#This Row],[FINAL SCORE]])+1</f>
        <v>2</v>
      </c>
      <c r="AF3" s="16" t="s">
        <v>35</v>
      </c>
    </row>
    <row r="4" spans="1:51" x14ac:dyDescent="0.3">
      <c r="A4" s="16">
        <v>11</v>
      </c>
      <c r="B4" s="17">
        <v>1</v>
      </c>
      <c r="C4" s="17" t="s">
        <v>49</v>
      </c>
      <c r="D4" s="17" t="s">
        <v>27</v>
      </c>
      <c r="E4" s="17" t="s">
        <v>66</v>
      </c>
      <c r="F4" s="17" t="s">
        <v>67</v>
      </c>
      <c r="G4" s="17" t="s">
        <v>56</v>
      </c>
      <c r="H4" s="18" t="s">
        <v>25</v>
      </c>
      <c r="I4" s="19">
        <v>22</v>
      </c>
      <c r="J4" s="20">
        <v>1.1000000000000001</v>
      </c>
      <c r="K4" s="21">
        <f>Twirling_Solo_Program28910111213141516171852[[#This Row],[Judge 1
Tamara Beljak]]-J4</f>
        <v>20.9</v>
      </c>
      <c r="L4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Row],[Category]],Twirling_Solo_Program28910111213141516171852[J1 TOTAL],"&gt;"&amp;Twirling_Solo_Program28910111213141516171852[[#This Row],[J1 TOTAL]])+1</f>
        <v>3</v>
      </c>
      <c r="M4" s="19"/>
      <c r="N4" s="20"/>
      <c r="O4" s="21">
        <f>Twirling_Solo_Program28910111213141516171852[[#This Row],[Judge 2
Tihomir Bendelja]]-Twirling_Solo_Program28910111213141516171852[[#This Row],[J2 (-)]]</f>
        <v>0</v>
      </c>
      <c r="P4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Row],[Category]],Twirling_Solo_Program28910111213141516171852[J2 TOTAL],"&gt;"&amp;Twirling_Solo_Program28910111213141516171852[[#This Row],[J2 TOTAL]])+1</f>
        <v>1</v>
      </c>
      <c r="Q4" s="19">
        <v>20.2</v>
      </c>
      <c r="R4" s="20">
        <v>0.9</v>
      </c>
      <c r="S4" s="21">
        <f>Twirling_Solo_Program28910111213141516171852[[#This Row],[Judge 3
Barbara Novina]]-R4</f>
        <v>19.3</v>
      </c>
      <c r="T4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Row],[Category]],Twirling_Solo_Program28910111213141516171852[J3 TOTAL],"&gt;"&amp;Twirling_Solo_Program28910111213141516171852[[#This Row],[J3 TOTAL]])+1</f>
        <v>3</v>
      </c>
      <c r="U4" s="19"/>
      <c r="V4" s="20"/>
      <c r="W4" s="21">
        <f>Twirling_Solo_Program28910111213141516171852[[#This Row],[Judge 4
Bernard Barač]]-V4</f>
        <v>0</v>
      </c>
      <c r="X4" s="22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Row],[Category]],Twirling_Solo_Program28910111213141516171852[J4 TOTAL],"&gt;"&amp;Twirling_Solo_Program28910111213141516171852[[#This Row],[J4 TOTAL]])+1</f>
        <v>1</v>
      </c>
      <c r="Y4" s="23">
        <f>SUM(Twirling_Solo_Program28910111213141516171852[[#This Row],[J1 TOTAL]]+Twirling_Solo_Program28910111213141516171852[[#This Row],[J2 TOTAL]]+Twirling_Solo_Program28910111213141516171852[[#This Row],[J3 TOTAL]]+Twirling_Solo_Program28910111213141516171852[[#This Row],[J4 TOTAL]])</f>
        <v>40.200000000000003</v>
      </c>
      <c r="Z4" s="23"/>
      <c r="AA4" s="23"/>
      <c r="AB4" s="23">
        <f>SUM(Twirling_Solo_Program28910111213141516171852[[#This Row],[Total]]-Twirling_Solo_Program28910111213141516171852[[#This Row],[Low]]-Twirling_Solo_Program28910111213141516171852[[#This Row],[High]])</f>
        <v>40.200000000000003</v>
      </c>
      <c r="AC4" s="23">
        <f>AVERAGE(I4,M4,Q4,U4)</f>
        <v>21.1</v>
      </c>
      <c r="AD4" s="24">
        <f>Twirling_Solo_Program28910111213141516171852[[#This Row],[Final Total]]</f>
        <v>40.200000000000003</v>
      </c>
      <c r="AE4" s="25">
        <f>COUNTIFS(Twirling_Solo_Program28910111213141516171852[Age
Division],Twirling_Solo_Program28910111213141516171852[[#This Row],[Age
Division]],Twirling_Solo_Program28910111213141516171852[Category],Twirling_Solo_Program28910111213141516171852[[#This Row],[Category]],Twirling_Solo_Program28910111213141516171852[FINAL SCORE],"&gt;"&amp;Twirling_Solo_Program28910111213141516171852[[#This Row],[FINAL SCORE]])+1</f>
        <v>3</v>
      </c>
      <c r="AF4" s="16" t="s">
        <v>35</v>
      </c>
    </row>
  </sheetData>
  <sheetProtection algorithmName="SHA-512" hashValue="wmLNs8HfbGjertDknXkAInxoEMtFxcgqSlCf1VtQL6ZR+9dnMe1wGBvLioOvAvmAbJAGIUK+dIdV6jy3ZsltKg==" saltValue="0MnIOIZ2U+MWoL92X12Nc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4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5703125" style="27" customWidth="1"/>
    <col min="4" max="4" width="9" style="28" customWidth="1"/>
    <col min="5" max="5" width="12.7109375" style="28" customWidth="1"/>
    <col min="6" max="6" width="17" style="18" customWidth="1"/>
    <col min="7" max="7" width="34.5703125" style="18" customWidth="1"/>
    <col min="8" max="8" width="7.28515625" style="18" customWidth="1"/>
    <col min="9" max="12" width="9.140625" style="18" hidden="1" customWidth="1"/>
    <col min="13" max="16" width="9.140625" style="18" customWidth="1"/>
    <col min="17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28</v>
      </c>
      <c r="B2" s="17">
        <v>2</v>
      </c>
      <c r="C2" s="17" t="s">
        <v>49</v>
      </c>
      <c r="D2" s="17" t="s">
        <v>86</v>
      </c>
      <c r="E2" s="17" t="s">
        <v>50</v>
      </c>
      <c r="F2" s="17" t="s">
        <v>90</v>
      </c>
      <c r="G2" s="17" t="s">
        <v>56</v>
      </c>
      <c r="H2" s="18" t="s">
        <v>25</v>
      </c>
      <c r="I2" s="19"/>
      <c r="J2" s="20"/>
      <c r="K2" s="21">
        <f>Twirling_Solo_Program2891011121314151617185253545556[[#This Row],[Judge 1
Tamara Beljak]]-J2</f>
        <v>0</v>
      </c>
      <c r="L2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Row],[Category]],Twirling_Solo_Program2891011121314151617185253545556[J1 TOTAL],"&gt;"&amp;Twirling_Solo_Program2891011121314151617185253545556[[#This Row],[J1 TOTAL]])+1</f>
        <v>1</v>
      </c>
      <c r="M2" s="19">
        <v>25.5</v>
      </c>
      <c r="N2" s="20">
        <v>0.4</v>
      </c>
      <c r="O2" s="21">
        <f>Twirling_Solo_Program2891011121314151617185253545556[[#This Row],[Judge 2
Tihomir Bendelja]]-Twirling_Solo_Program2891011121314151617185253545556[[#This Row],[J2 (-)]]</f>
        <v>25.1</v>
      </c>
      <c r="P2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Row],[Category]],Twirling_Solo_Program2891011121314151617185253545556[J2 TOTAL],"&gt;"&amp;Twirling_Solo_Program2891011121314151617185253545556[[#This Row],[J2 TOTAL]])+1</f>
        <v>1</v>
      </c>
      <c r="Q2" s="19"/>
      <c r="R2" s="20"/>
      <c r="S2" s="21">
        <f>Twirling_Solo_Program2891011121314151617185253545556[[#This Row],[Judge 3
Barbara Novina]]-R2</f>
        <v>0</v>
      </c>
      <c r="T2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Row],[Category]],Twirling_Solo_Program2891011121314151617185253545556[J3 TOTAL],"&gt;"&amp;Twirling_Solo_Program2891011121314151617185253545556[[#This Row],[J3 TOTAL]])+1</f>
        <v>1</v>
      </c>
      <c r="U2" s="19">
        <v>26.3</v>
      </c>
      <c r="V2" s="20">
        <v>0.4</v>
      </c>
      <c r="W2" s="21">
        <f>Twirling_Solo_Program2891011121314151617185253545556[[#This Row],[Judge 4
Bernard Barač]]-V2</f>
        <v>25.900000000000002</v>
      </c>
      <c r="X2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Row],[Category]],Twirling_Solo_Program2891011121314151617185253545556[J4 TOTAL],"&gt;"&amp;Twirling_Solo_Program2891011121314151617185253545556[[#This Row],[J4 TOTAL]])+1</f>
        <v>1</v>
      </c>
      <c r="Y2" s="23">
        <f>SUM(Twirling_Solo_Program2891011121314151617185253545556[[#This Row],[J1 TOTAL]]+Twirling_Solo_Program2891011121314151617185253545556[[#This Row],[J2 TOTAL]]+Twirling_Solo_Program2891011121314151617185253545556[[#This Row],[J3 TOTAL]]+Twirling_Solo_Program2891011121314151617185253545556[[#This Row],[J4 TOTAL]])</f>
        <v>51</v>
      </c>
      <c r="Z2" s="23"/>
      <c r="AA2" s="23"/>
      <c r="AB2" s="23">
        <f>SUM(Twirling_Solo_Program2891011121314151617185253545556[[#This Row],[Total]]-Twirling_Solo_Program2891011121314151617185253545556[[#This Row],[Low]]-Twirling_Solo_Program2891011121314151617185253545556[[#This Row],[High]])</f>
        <v>51</v>
      </c>
      <c r="AC2" s="23">
        <f>AVERAGE(I2,M2,Q2,U2)</f>
        <v>25.9</v>
      </c>
      <c r="AD2" s="24">
        <f>Twirling_Solo_Program2891011121314151617185253545556[[#This Row],[Final Total]]</f>
        <v>51</v>
      </c>
      <c r="AE2" s="25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Row],[Category]],Twirling_Solo_Program2891011121314151617185253545556[FINAL SCORE],"&gt;"&amp;Twirling_Solo_Program2891011121314151617185253545556[[#This Row],[FINAL SCORE]])+1</f>
        <v>1</v>
      </c>
      <c r="AF2" s="16" t="s">
        <v>35</v>
      </c>
    </row>
    <row r="3" spans="1:51" x14ac:dyDescent="0.3">
      <c r="A3" s="16">
        <v>24</v>
      </c>
      <c r="B3" s="17">
        <v>2</v>
      </c>
      <c r="C3" s="17" t="s">
        <v>49</v>
      </c>
      <c r="D3" s="17" t="s">
        <v>86</v>
      </c>
      <c r="E3" s="17" t="s">
        <v>50</v>
      </c>
      <c r="F3" s="17" t="s">
        <v>87</v>
      </c>
      <c r="G3" s="17" t="s">
        <v>88</v>
      </c>
      <c r="H3" s="18" t="s">
        <v>28</v>
      </c>
      <c r="I3" s="19"/>
      <c r="J3" s="20"/>
      <c r="K3" s="21">
        <f>Twirling_Solo_Program2891011121314151617185253545556[[#This Row],[Judge 1
Tamara Beljak]]-J3</f>
        <v>0</v>
      </c>
      <c r="L3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Row],[Category]],Twirling_Solo_Program2891011121314151617185253545556[J1 TOTAL],"&gt;"&amp;Twirling_Solo_Program2891011121314151617185253545556[[#This Row],[J1 TOTAL]])+1</f>
        <v>1</v>
      </c>
      <c r="M3" s="19">
        <v>23.8</v>
      </c>
      <c r="N3" s="20">
        <v>0.1</v>
      </c>
      <c r="O3" s="21">
        <f>Twirling_Solo_Program2891011121314151617185253545556[[#This Row],[Judge 2
Tihomir Bendelja]]-Twirling_Solo_Program2891011121314151617185253545556[[#This Row],[J2 (-)]]</f>
        <v>23.7</v>
      </c>
      <c r="P3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Row],[Category]],Twirling_Solo_Program2891011121314151617185253545556[J2 TOTAL],"&gt;"&amp;Twirling_Solo_Program2891011121314151617185253545556[[#This Row],[J2 TOTAL]])+1</f>
        <v>2</v>
      </c>
      <c r="Q3" s="19"/>
      <c r="R3" s="20"/>
      <c r="S3" s="21">
        <f>Twirling_Solo_Program2891011121314151617185253545556[[#This Row],[Judge 3
Barbara Novina]]-R3</f>
        <v>0</v>
      </c>
      <c r="T3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Row],[Category]],Twirling_Solo_Program2891011121314151617185253545556[J3 TOTAL],"&gt;"&amp;Twirling_Solo_Program2891011121314151617185253545556[[#This Row],[J3 TOTAL]])+1</f>
        <v>1</v>
      </c>
      <c r="U3" s="19">
        <v>24.5</v>
      </c>
      <c r="V3" s="20">
        <v>0.1</v>
      </c>
      <c r="W3" s="21">
        <f>Twirling_Solo_Program2891011121314151617185253545556[[#This Row],[Judge 4
Bernard Barač]]-V3</f>
        <v>24.4</v>
      </c>
      <c r="X3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Row],[Category]],Twirling_Solo_Program2891011121314151617185253545556[J4 TOTAL],"&gt;"&amp;Twirling_Solo_Program2891011121314151617185253545556[[#This Row],[J4 TOTAL]])+1</f>
        <v>3</v>
      </c>
      <c r="Y3" s="23">
        <f>SUM(Twirling_Solo_Program2891011121314151617185253545556[[#This Row],[J1 TOTAL]]+Twirling_Solo_Program2891011121314151617185253545556[[#This Row],[J2 TOTAL]]+Twirling_Solo_Program2891011121314151617185253545556[[#This Row],[J3 TOTAL]]+Twirling_Solo_Program2891011121314151617185253545556[[#This Row],[J4 TOTAL]])</f>
        <v>48.099999999999994</v>
      </c>
      <c r="Z3" s="23"/>
      <c r="AA3" s="23"/>
      <c r="AB3" s="23">
        <f>SUM(Twirling_Solo_Program2891011121314151617185253545556[[#This Row],[Total]]-Twirling_Solo_Program2891011121314151617185253545556[[#This Row],[Low]]-Twirling_Solo_Program2891011121314151617185253545556[[#This Row],[High]])</f>
        <v>48.099999999999994</v>
      </c>
      <c r="AC3" s="23">
        <f>AVERAGE(I3,M3,Q3,U3)</f>
        <v>24.15</v>
      </c>
      <c r="AD3" s="24">
        <f>Twirling_Solo_Program2891011121314151617185253545556[[#This Row],[Final Total]]</f>
        <v>48.099999999999994</v>
      </c>
      <c r="AE3" s="25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Row],[Category]],Twirling_Solo_Program2891011121314151617185253545556[FINAL SCORE],"&gt;"&amp;Twirling_Solo_Program2891011121314151617185253545556[[#This Row],[FINAL SCORE]])+1</f>
        <v>2</v>
      </c>
      <c r="AF3" s="16" t="s">
        <v>35</v>
      </c>
    </row>
    <row r="4" spans="1:51" x14ac:dyDescent="0.3">
      <c r="A4" s="16">
        <v>26</v>
      </c>
      <c r="B4" s="17">
        <v>2</v>
      </c>
      <c r="C4" s="17" t="s">
        <v>49</v>
      </c>
      <c r="D4" s="17" t="s">
        <v>86</v>
      </c>
      <c r="E4" s="17" t="s">
        <v>50</v>
      </c>
      <c r="F4" s="17" t="s">
        <v>89</v>
      </c>
      <c r="G4" s="17" t="s">
        <v>88</v>
      </c>
      <c r="H4" s="18" t="s">
        <v>28</v>
      </c>
      <c r="I4" s="19"/>
      <c r="J4" s="20"/>
      <c r="K4" s="21">
        <f>Twirling_Solo_Program2891011121314151617185253545556[[#This Row],[Judge 1
Tamara Beljak]]-J4</f>
        <v>0</v>
      </c>
      <c r="L4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Row],[Category]],Twirling_Solo_Program2891011121314151617185253545556[J1 TOTAL],"&gt;"&amp;Twirling_Solo_Program2891011121314151617185253545556[[#This Row],[J1 TOTAL]])+1</f>
        <v>1</v>
      </c>
      <c r="M4" s="19">
        <v>23.8</v>
      </c>
      <c r="N4" s="20">
        <v>0.5</v>
      </c>
      <c r="O4" s="21">
        <f>Twirling_Solo_Program2891011121314151617185253545556[[#This Row],[Judge 2
Tihomir Bendelja]]-Twirling_Solo_Program2891011121314151617185253545556[[#This Row],[J2 (-)]]</f>
        <v>23.3</v>
      </c>
      <c r="P4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Row],[Category]],Twirling_Solo_Program2891011121314151617185253545556[J2 TOTAL],"&gt;"&amp;Twirling_Solo_Program2891011121314151617185253545556[[#This Row],[J2 TOTAL]])+1</f>
        <v>3</v>
      </c>
      <c r="Q4" s="19"/>
      <c r="R4" s="20"/>
      <c r="S4" s="21">
        <f>Twirling_Solo_Program2891011121314151617185253545556[[#This Row],[Judge 3
Barbara Novina]]-R4</f>
        <v>0</v>
      </c>
      <c r="T4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Row],[Category]],Twirling_Solo_Program2891011121314151617185253545556[J3 TOTAL],"&gt;"&amp;Twirling_Solo_Program2891011121314151617185253545556[[#This Row],[J3 TOTAL]])+1</f>
        <v>1</v>
      </c>
      <c r="U4" s="19">
        <v>25.2</v>
      </c>
      <c r="V4" s="20">
        <v>0.5</v>
      </c>
      <c r="W4" s="21">
        <f>Twirling_Solo_Program2891011121314151617185253545556[[#This Row],[Judge 4
Bernard Barač]]-V4</f>
        <v>24.7</v>
      </c>
      <c r="X4" s="22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Row],[Category]],Twirling_Solo_Program2891011121314151617185253545556[J4 TOTAL],"&gt;"&amp;Twirling_Solo_Program2891011121314151617185253545556[[#This Row],[J4 TOTAL]])+1</f>
        <v>2</v>
      </c>
      <c r="Y4" s="23">
        <f>SUM(Twirling_Solo_Program2891011121314151617185253545556[[#This Row],[J1 TOTAL]]+Twirling_Solo_Program2891011121314151617185253545556[[#This Row],[J2 TOTAL]]+Twirling_Solo_Program2891011121314151617185253545556[[#This Row],[J3 TOTAL]]+Twirling_Solo_Program2891011121314151617185253545556[[#This Row],[J4 TOTAL]])</f>
        <v>48</v>
      </c>
      <c r="Z4" s="23"/>
      <c r="AA4" s="23"/>
      <c r="AB4" s="23">
        <f>SUM(Twirling_Solo_Program2891011121314151617185253545556[[#This Row],[Total]]-Twirling_Solo_Program2891011121314151617185253545556[[#This Row],[Low]]-Twirling_Solo_Program2891011121314151617185253545556[[#This Row],[High]])</f>
        <v>48</v>
      </c>
      <c r="AC4" s="23">
        <f>AVERAGE(I4,M4,Q4,U4)</f>
        <v>24.5</v>
      </c>
      <c r="AD4" s="24">
        <f>Twirling_Solo_Program2891011121314151617185253545556[[#This Row],[Final Total]]</f>
        <v>48</v>
      </c>
      <c r="AE4" s="25">
        <f>COUNTIFS(Twirling_Solo_Program2891011121314151617185253545556[Age
Division],Twirling_Solo_Program2891011121314151617185253545556[[#This Row],[Age
Division]],Twirling_Solo_Program2891011121314151617185253545556[Category],Twirling_Solo_Program2891011121314151617185253545556[[#This Row],[Category]],Twirling_Solo_Program2891011121314151617185253545556[FINAL SCORE],"&gt;"&amp;Twirling_Solo_Program2891011121314151617185253545556[[#This Row],[FINAL SCORE]])+1</f>
        <v>3</v>
      </c>
      <c r="AF4" s="16" t="s">
        <v>35</v>
      </c>
    </row>
  </sheetData>
  <sheetProtection algorithmName="SHA-512" hashValue="b9B5BlS0yPgICCq8opy/djrVKYDMCwEaEjmdZX9JEEp2E2h1QHYOMiWaXkhHgSqLtbUcHwaFeOgAcPxKhXHU2Q==" saltValue="uKAiZBhXXhqNVyto9zibVA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3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2.140625" style="27" customWidth="1"/>
    <col min="4" max="4" width="7.85546875" style="28" customWidth="1"/>
    <col min="5" max="5" width="9.5703125" style="28" customWidth="1"/>
    <col min="6" max="6" width="14.7109375" style="18" customWidth="1"/>
    <col min="7" max="7" width="45.42578125" style="18" customWidth="1"/>
    <col min="8" max="8" width="8" style="18" customWidth="1"/>
    <col min="9" max="12" width="9.140625" style="18" customWidth="1"/>
    <col min="13" max="16" width="9.140625" style="18" hidden="1" customWidth="1"/>
    <col min="17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19</v>
      </c>
      <c r="B2" s="17">
        <v>1</v>
      </c>
      <c r="C2" s="17" t="s">
        <v>49</v>
      </c>
      <c r="D2" s="17" t="s">
        <v>29</v>
      </c>
      <c r="E2" s="17" t="s">
        <v>66</v>
      </c>
      <c r="F2" s="17" t="s">
        <v>85</v>
      </c>
      <c r="G2" s="17" t="s">
        <v>79</v>
      </c>
      <c r="H2" s="18" t="s">
        <v>25</v>
      </c>
      <c r="I2" s="19">
        <v>28.9</v>
      </c>
      <c r="J2" s="20">
        <v>0.4</v>
      </c>
      <c r="K2" s="21">
        <f>Twirling_Solo_Program28910111213141516171852535455[[#This Row],[Judge 1
Tamara Beljak]]-J2</f>
        <v>28.5</v>
      </c>
      <c r="L2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Row],[Category]],Twirling_Solo_Program28910111213141516171852535455[J1 TOTAL],"&gt;"&amp;Twirling_Solo_Program28910111213141516171852535455[[#This Row],[J1 TOTAL]])+1</f>
        <v>1</v>
      </c>
      <c r="M2" s="19"/>
      <c r="N2" s="20"/>
      <c r="O2" s="21">
        <f>Twirling_Solo_Program28910111213141516171852535455[[#This Row],[Judge 2
Tihomir Bendelja]]-Twirling_Solo_Program28910111213141516171852535455[[#This Row],[J2 (-)]]</f>
        <v>0</v>
      </c>
      <c r="P2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Row],[Category]],Twirling_Solo_Program28910111213141516171852535455[J2 TOTAL],"&gt;"&amp;Twirling_Solo_Program28910111213141516171852535455[[#This Row],[J2 TOTAL]])+1</f>
        <v>1</v>
      </c>
      <c r="Q2" s="19">
        <v>27.8</v>
      </c>
      <c r="R2" s="20">
        <v>0.4</v>
      </c>
      <c r="S2" s="21">
        <f>Twirling_Solo_Program28910111213141516171852535455[[#This Row],[Judge 3
Barbara Novina]]-R2</f>
        <v>27.400000000000002</v>
      </c>
      <c r="T2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Row],[Category]],Twirling_Solo_Program28910111213141516171852535455[J3 TOTAL],"&gt;"&amp;Twirling_Solo_Program28910111213141516171852535455[[#This Row],[J3 TOTAL]])+1</f>
        <v>1</v>
      </c>
      <c r="U2" s="19"/>
      <c r="V2" s="20"/>
      <c r="W2" s="21">
        <f>Twirling_Solo_Program28910111213141516171852535455[[#This Row],[Judge 4
Bernard Barač]]-V2</f>
        <v>0</v>
      </c>
      <c r="X2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Row],[Category]],Twirling_Solo_Program28910111213141516171852535455[J4 TOTAL],"&gt;"&amp;Twirling_Solo_Program28910111213141516171852535455[[#This Row],[J4 TOTAL]])+1</f>
        <v>1</v>
      </c>
      <c r="Y2" s="23">
        <f>SUM(Twirling_Solo_Program28910111213141516171852535455[[#This Row],[J1 TOTAL]]+Twirling_Solo_Program28910111213141516171852535455[[#This Row],[J2 TOTAL]]+Twirling_Solo_Program28910111213141516171852535455[[#This Row],[J3 TOTAL]]+Twirling_Solo_Program28910111213141516171852535455[[#This Row],[J4 TOTAL]])</f>
        <v>55.900000000000006</v>
      </c>
      <c r="Z2" s="23"/>
      <c r="AA2" s="23"/>
      <c r="AB2" s="23">
        <f>SUM(Twirling_Solo_Program28910111213141516171852535455[[#This Row],[Total]]-Twirling_Solo_Program28910111213141516171852535455[[#This Row],[Low]]-Twirling_Solo_Program28910111213141516171852535455[[#This Row],[High]])</f>
        <v>55.900000000000006</v>
      </c>
      <c r="AC2" s="23">
        <f>AVERAGE(I2,M2,Q2,U2)</f>
        <v>28.35</v>
      </c>
      <c r="AD2" s="24">
        <f>Twirling_Solo_Program28910111213141516171852535455[[#This Row],[Final Total]]</f>
        <v>55.900000000000006</v>
      </c>
      <c r="AE2" s="25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Row],[Category]],Twirling_Solo_Program28910111213141516171852535455[FINAL SCORE],"&gt;"&amp;Twirling_Solo_Program28910111213141516171852535455[[#This Row],[FINAL SCORE]])+1</f>
        <v>1</v>
      </c>
      <c r="AF2" s="16" t="s">
        <v>35</v>
      </c>
    </row>
    <row r="3" spans="1:51" x14ac:dyDescent="0.3">
      <c r="A3" s="16">
        <v>17</v>
      </c>
      <c r="B3" s="17">
        <v>1</v>
      </c>
      <c r="C3" s="17" t="s">
        <v>49</v>
      </c>
      <c r="D3" s="17" t="s">
        <v>29</v>
      </c>
      <c r="E3" s="17" t="s">
        <v>66</v>
      </c>
      <c r="F3" s="17" t="s">
        <v>84</v>
      </c>
      <c r="G3" s="17" t="s">
        <v>24</v>
      </c>
      <c r="H3" s="18" t="s">
        <v>25</v>
      </c>
      <c r="I3" s="19">
        <v>13.8</v>
      </c>
      <c r="J3" s="20">
        <v>0.2</v>
      </c>
      <c r="K3" s="21">
        <f>Twirling_Solo_Program28910111213141516171852535455[[#This Row],[Judge 1
Tamara Beljak]]-J3</f>
        <v>13.600000000000001</v>
      </c>
      <c r="L3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Row],[Category]],Twirling_Solo_Program28910111213141516171852535455[J1 TOTAL],"&gt;"&amp;Twirling_Solo_Program28910111213141516171852535455[[#This Row],[J1 TOTAL]])+1</f>
        <v>2</v>
      </c>
      <c r="M3" s="19"/>
      <c r="N3" s="20"/>
      <c r="O3" s="21">
        <f>Twirling_Solo_Program28910111213141516171852535455[[#This Row],[Judge 2
Tihomir Bendelja]]-Twirling_Solo_Program28910111213141516171852535455[[#This Row],[J2 (-)]]</f>
        <v>0</v>
      </c>
      <c r="P3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Row],[Category]],Twirling_Solo_Program28910111213141516171852535455[J2 TOTAL],"&gt;"&amp;Twirling_Solo_Program28910111213141516171852535455[[#This Row],[J2 TOTAL]])+1</f>
        <v>1</v>
      </c>
      <c r="Q3" s="19">
        <v>15.2</v>
      </c>
      <c r="R3" s="20">
        <v>0.3</v>
      </c>
      <c r="S3" s="21">
        <f>Twirling_Solo_Program28910111213141516171852535455[[#This Row],[Judge 3
Barbara Novina]]-R3</f>
        <v>14.899999999999999</v>
      </c>
      <c r="T3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Row],[Category]],Twirling_Solo_Program28910111213141516171852535455[J3 TOTAL],"&gt;"&amp;Twirling_Solo_Program28910111213141516171852535455[[#This Row],[J3 TOTAL]])+1</f>
        <v>2</v>
      </c>
      <c r="U3" s="19"/>
      <c r="V3" s="20"/>
      <c r="W3" s="21">
        <f>Twirling_Solo_Program28910111213141516171852535455[[#This Row],[Judge 4
Bernard Barač]]-V3</f>
        <v>0</v>
      </c>
      <c r="X3" s="22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Row],[Category]],Twirling_Solo_Program28910111213141516171852535455[J4 TOTAL],"&gt;"&amp;Twirling_Solo_Program28910111213141516171852535455[[#This Row],[J4 TOTAL]])+1</f>
        <v>1</v>
      </c>
      <c r="Y3" s="23">
        <f>SUM(Twirling_Solo_Program28910111213141516171852535455[[#This Row],[J1 TOTAL]]+Twirling_Solo_Program28910111213141516171852535455[[#This Row],[J2 TOTAL]]+Twirling_Solo_Program28910111213141516171852535455[[#This Row],[J3 TOTAL]]+Twirling_Solo_Program28910111213141516171852535455[[#This Row],[J4 TOTAL]])</f>
        <v>28.5</v>
      </c>
      <c r="Z3" s="23"/>
      <c r="AA3" s="23"/>
      <c r="AB3" s="23">
        <f>SUM(Twirling_Solo_Program28910111213141516171852535455[[#This Row],[Total]]-Twirling_Solo_Program28910111213141516171852535455[[#This Row],[Low]]-Twirling_Solo_Program28910111213141516171852535455[[#This Row],[High]])</f>
        <v>28.5</v>
      </c>
      <c r="AC3" s="23">
        <f>AVERAGE(I3,M3,Q3,U3)</f>
        <v>14.5</v>
      </c>
      <c r="AD3" s="24">
        <f>Twirling_Solo_Program28910111213141516171852535455[[#This Row],[Final Total]]</f>
        <v>28.5</v>
      </c>
      <c r="AE3" s="25">
        <f>COUNTIFS(Twirling_Solo_Program28910111213141516171852535455[Age
Division],Twirling_Solo_Program28910111213141516171852535455[[#This Row],[Age
Division]],Twirling_Solo_Program28910111213141516171852535455[Category],Twirling_Solo_Program28910111213141516171852535455[[#This Row],[Category]],Twirling_Solo_Program28910111213141516171852535455[FINAL SCORE],"&gt;"&amp;Twirling_Solo_Program28910111213141516171852535455[[#This Row],[FINAL SCORE]])+1</f>
        <v>2</v>
      </c>
      <c r="AF3" s="16" t="s">
        <v>35</v>
      </c>
    </row>
  </sheetData>
  <sheetProtection algorithmName="SHA-512" hashValue="veLY3EngzfFb3r05MTBiC2yt1M+Lp/S7ccPi3/YIvtAavkUjakvR4uoAPuxgdf9VT58YpR13klMf123zB3GNJg==" saltValue="UUELdmKwR16vhFfxRbbL5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3.5703125" style="27" customWidth="1"/>
    <col min="4" max="4" width="9.85546875" style="28" customWidth="1"/>
    <col min="5" max="5" width="11.5703125" style="28" customWidth="1"/>
    <col min="6" max="6" width="13.5703125" style="18" customWidth="1"/>
    <col min="7" max="7" width="39.42578125" style="18" customWidth="1"/>
    <col min="8" max="8" width="7.7109375" style="18" customWidth="1"/>
    <col min="9" max="12" width="9.140625" style="18" hidden="1" customWidth="1"/>
    <col min="13" max="16" width="9.140625" style="18" customWidth="1"/>
    <col min="17" max="20" width="9.140625" style="18" hidden="1" customWidth="1"/>
    <col min="21" max="24" width="9.140625" style="18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30</v>
      </c>
      <c r="B2" s="17">
        <v>2</v>
      </c>
      <c r="C2" s="17" t="s">
        <v>49</v>
      </c>
      <c r="D2" s="17" t="s">
        <v>86</v>
      </c>
      <c r="E2" s="17" t="s">
        <v>91</v>
      </c>
      <c r="F2" s="17" t="s">
        <v>92</v>
      </c>
      <c r="G2" s="17" t="s">
        <v>79</v>
      </c>
      <c r="H2" s="18" t="s">
        <v>25</v>
      </c>
      <c r="I2" s="19"/>
      <c r="J2" s="20"/>
      <c r="K2" s="21">
        <f>Twirling_Solo_Program289101112131415161718525354555657[[#This Row],[Judge 1
Tamara Beljak]]-J2</f>
        <v>0</v>
      </c>
      <c r="L2" s="22">
        <f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Row],[Category]],Twirling_Solo_Program289101112131415161718525354555657[J1 TOTAL],"&gt;"&amp;Twirling_Solo_Program289101112131415161718525354555657[[#This Row],[J1 TOTAL]])+1</f>
        <v>1</v>
      </c>
      <c r="M2" s="19">
        <v>32.4</v>
      </c>
      <c r="N2" s="20">
        <v>0.8</v>
      </c>
      <c r="O2" s="21">
        <f>Twirling_Solo_Program289101112131415161718525354555657[[#This Row],[Judge 2
Tihomir Bendelja]]-Twirling_Solo_Program289101112131415161718525354555657[[#This Row],[J2 (-)]]</f>
        <v>31.599999999999998</v>
      </c>
      <c r="P2" s="22">
        <f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Row],[Category]],Twirling_Solo_Program289101112131415161718525354555657[J2 TOTAL],"&gt;"&amp;Twirling_Solo_Program289101112131415161718525354555657[[#This Row],[J2 TOTAL]])+1</f>
        <v>1</v>
      </c>
      <c r="Q2" s="19"/>
      <c r="R2" s="20"/>
      <c r="S2" s="21">
        <f>Twirling_Solo_Program289101112131415161718525354555657[[#This Row],[Judge 3
Barbara Novina]]-R2</f>
        <v>0</v>
      </c>
      <c r="T2" s="22">
        <f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Row],[Category]],Twirling_Solo_Program289101112131415161718525354555657[J3 TOTAL],"&gt;"&amp;Twirling_Solo_Program289101112131415161718525354555657[[#This Row],[J3 TOTAL]])+1</f>
        <v>1</v>
      </c>
      <c r="U2" s="19">
        <v>35.5</v>
      </c>
      <c r="V2" s="20">
        <v>0.4</v>
      </c>
      <c r="W2" s="21">
        <f>Twirling_Solo_Program289101112131415161718525354555657[[#This Row],[Judge 4
Bernard Barač]]-V2</f>
        <v>35.1</v>
      </c>
      <c r="X2" s="22">
        <f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Row],[Category]],Twirling_Solo_Program289101112131415161718525354555657[J4 TOTAL],"&gt;"&amp;Twirling_Solo_Program289101112131415161718525354555657[[#This Row],[J4 TOTAL]])+1</f>
        <v>1</v>
      </c>
      <c r="Y2" s="23">
        <f>SUM(Twirling_Solo_Program289101112131415161718525354555657[[#This Row],[J1 TOTAL]]+Twirling_Solo_Program289101112131415161718525354555657[[#This Row],[J2 TOTAL]]+Twirling_Solo_Program289101112131415161718525354555657[[#This Row],[J3 TOTAL]]+Twirling_Solo_Program289101112131415161718525354555657[[#This Row],[J4 TOTAL]])</f>
        <v>66.7</v>
      </c>
      <c r="Z2" s="23"/>
      <c r="AA2" s="23"/>
      <c r="AB2" s="23">
        <f>SUM(Twirling_Solo_Program289101112131415161718525354555657[[#This Row],[Total]]-Twirling_Solo_Program289101112131415161718525354555657[[#This Row],[Low]]-Twirling_Solo_Program289101112131415161718525354555657[[#This Row],[High]])</f>
        <v>66.7</v>
      </c>
      <c r="AC2" s="23">
        <f>AVERAGE(I2,M2,Q2,U2)</f>
        <v>33.950000000000003</v>
      </c>
      <c r="AD2" s="24">
        <f>Twirling_Solo_Program289101112131415161718525354555657[[#This Row],[Final Total]]</f>
        <v>66.7</v>
      </c>
      <c r="AE2" s="25">
        <f>COUNTIFS(Twirling_Solo_Program289101112131415161718525354555657[Age
Division],Twirling_Solo_Program289101112131415161718525354555657[[#This Row],[Age
Division]],Twirling_Solo_Program289101112131415161718525354555657[Category],Twirling_Solo_Program289101112131415161718525354555657[[#This Row],[Category]],Twirling_Solo_Program289101112131415161718525354555657[FINAL SCORE],"&gt;"&amp;Twirling_Solo_Program289101112131415161718525354555657[[#This Row],[FINAL SCORE]])+1</f>
        <v>1</v>
      </c>
      <c r="AF2" s="16" t="s">
        <v>35</v>
      </c>
    </row>
  </sheetData>
  <sheetProtection algorithmName="SHA-512" hashValue="cZ4LOdkpAuu8E5Z6PKRZHYPV6aivFbtKLs2q4rPXVTinjv9Yq/0L6J2qDT5pv2BR8uACuM08FTbs92y2fIbGbg==" saltValue="mWtubuAmVaEMBktmzZ2EZ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2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6.5" x14ac:dyDescent="0.3"/>
  <cols>
    <col min="1" max="2" width="5.85546875" style="27" customWidth="1"/>
    <col min="3" max="3" width="13.140625" style="27" customWidth="1"/>
    <col min="4" max="4" width="8" style="28" customWidth="1"/>
    <col min="5" max="5" width="11.140625" style="28" customWidth="1"/>
    <col min="6" max="6" width="15.7109375" style="18" customWidth="1"/>
    <col min="7" max="7" width="42.7109375" style="18" customWidth="1"/>
    <col min="8" max="8" width="7.85546875" style="18" customWidth="1"/>
    <col min="9" max="12" width="9.140625" style="18" customWidth="1"/>
    <col min="13" max="16" width="9.140625" style="18" hidden="1" customWidth="1"/>
    <col min="17" max="20" width="9.140625" style="18" customWidth="1"/>
    <col min="21" max="24" width="9.140625" style="18" hidden="1" customWidth="1"/>
    <col min="25" max="25" width="9.140625" style="14" customWidth="1"/>
    <col min="26" max="27" width="9.7109375" style="18" hidden="1" customWidth="1"/>
    <col min="28" max="29" width="9.7109375" style="18" customWidth="1"/>
    <col min="30" max="30" width="7.5703125" style="18" customWidth="1"/>
    <col min="31" max="31" width="8.42578125" style="18" customWidth="1"/>
    <col min="32" max="16384" width="9.140625" style="18"/>
  </cols>
  <sheetData>
    <row r="1" spans="1:51" s="15" customFormat="1" ht="40.5" customHeight="1" x14ac:dyDescent="0.25">
      <c r="A1" s="5" t="s">
        <v>19</v>
      </c>
      <c r="B1" s="5" t="s">
        <v>0</v>
      </c>
      <c r="C1" s="6" t="s">
        <v>20</v>
      </c>
      <c r="D1" s="7" t="s">
        <v>21</v>
      </c>
      <c r="E1" s="7" t="s">
        <v>1</v>
      </c>
      <c r="F1" s="8" t="s">
        <v>2</v>
      </c>
      <c r="G1" s="8" t="s">
        <v>3</v>
      </c>
      <c r="H1" s="8" t="s">
        <v>4</v>
      </c>
      <c r="I1" s="9" t="s">
        <v>5</v>
      </c>
      <c r="J1" s="9" t="s">
        <v>6</v>
      </c>
      <c r="K1" s="9" t="s">
        <v>47</v>
      </c>
      <c r="L1" s="9" t="s">
        <v>7</v>
      </c>
      <c r="M1" s="10" t="s">
        <v>8</v>
      </c>
      <c r="N1" s="10" t="s">
        <v>9</v>
      </c>
      <c r="O1" s="10" t="s">
        <v>44</v>
      </c>
      <c r="P1" s="10" t="s">
        <v>10</v>
      </c>
      <c r="Q1" s="9" t="s">
        <v>193</v>
      </c>
      <c r="R1" s="9" t="s">
        <v>11</v>
      </c>
      <c r="S1" s="9" t="s">
        <v>45</v>
      </c>
      <c r="T1" s="9" t="s">
        <v>12</v>
      </c>
      <c r="U1" s="10" t="s">
        <v>22</v>
      </c>
      <c r="V1" s="10" t="s">
        <v>13</v>
      </c>
      <c r="W1" s="10" t="s">
        <v>46</v>
      </c>
      <c r="X1" s="10" t="s">
        <v>14</v>
      </c>
      <c r="Y1" s="11" t="s">
        <v>16</v>
      </c>
      <c r="Z1" s="11" t="s">
        <v>41</v>
      </c>
      <c r="AA1" s="11" t="s">
        <v>42</v>
      </c>
      <c r="AB1" s="11" t="s">
        <v>43</v>
      </c>
      <c r="AC1" s="11" t="s">
        <v>15</v>
      </c>
      <c r="AD1" s="12" t="s">
        <v>17</v>
      </c>
      <c r="AE1" s="13" t="s">
        <v>18</v>
      </c>
      <c r="AF1" s="12" t="s">
        <v>48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A2" s="16">
        <v>32</v>
      </c>
      <c r="B2" s="17">
        <v>1</v>
      </c>
      <c r="C2" s="17" t="s">
        <v>93</v>
      </c>
      <c r="D2" s="17" t="s">
        <v>23</v>
      </c>
      <c r="E2" s="17" t="s">
        <v>94</v>
      </c>
      <c r="F2" s="17" t="s">
        <v>57</v>
      </c>
      <c r="G2" s="17" t="s">
        <v>58</v>
      </c>
      <c r="H2" s="18" t="s">
        <v>25</v>
      </c>
      <c r="I2" s="19">
        <v>9.8000000000000007</v>
      </c>
      <c r="J2" s="20">
        <v>0.7</v>
      </c>
      <c r="K2" s="21">
        <f>Twirling_Solo_Program2891011121314151617185253545556575859[[#This Row],[Judge 1
Tamara Beljak]]-J2</f>
        <v>9.1000000000000014</v>
      </c>
      <c r="L2" s="22">
        <f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Row],[Category]],Twirling_Solo_Program2891011121314151617185253545556575859[J1 TOTAL],"&gt;"&amp;Twirling_Solo_Program2891011121314151617185253545556575859[[#This Row],[J1 TOTAL]])+1</f>
        <v>1</v>
      </c>
      <c r="M2" s="19"/>
      <c r="N2" s="20"/>
      <c r="O2" s="21">
        <f>Twirling_Solo_Program2891011121314151617185253545556575859[[#This Row],[Judge 2
Tihomir Bendelja]]-Twirling_Solo_Program2891011121314151617185253545556575859[[#This Row],[J2 (-)]]</f>
        <v>0</v>
      </c>
      <c r="P2" s="22">
        <f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Row],[Category]],Twirling_Solo_Program2891011121314151617185253545556575859[J2 TOTAL],"&gt;"&amp;Twirling_Solo_Program2891011121314151617185253545556575859[[#This Row],[J2 TOTAL]])+1</f>
        <v>1</v>
      </c>
      <c r="Q2" s="19">
        <v>9.6999999999999993</v>
      </c>
      <c r="R2" s="20">
        <v>0.7</v>
      </c>
      <c r="S2" s="21">
        <f>Twirling_Solo_Program2891011121314151617185253545556575859[[#This Row],[Judge 3
Barbara Novina]]-R2</f>
        <v>9</v>
      </c>
      <c r="T2" s="22">
        <f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Row],[Category]],Twirling_Solo_Program2891011121314151617185253545556575859[J3 TOTAL],"&gt;"&amp;Twirling_Solo_Program2891011121314151617185253545556575859[[#This Row],[J3 TOTAL]])+1</f>
        <v>1</v>
      </c>
      <c r="U2" s="19"/>
      <c r="V2" s="20"/>
      <c r="W2" s="21">
        <f>Twirling_Solo_Program2891011121314151617185253545556575859[[#This Row],[Judge 4
Bernard Barač]]-V2</f>
        <v>0</v>
      </c>
      <c r="X2" s="22">
        <f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Row],[Category]],Twirling_Solo_Program2891011121314151617185253545556575859[J4 TOTAL],"&gt;"&amp;Twirling_Solo_Program2891011121314151617185253545556575859[[#This Row],[J4 TOTAL]])+1</f>
        <v>1</v>
      </c>
      <c r="Y2" s="23">
        <f>SUM(Twirling_Solo_Program2891011121314151617185253545556575859[[#This Row],[J1 TOTAL]]+Twirling_Solo_Program2891011121314151617185253545556575859[[#This Row],[J2 TOTAL]]+Twirling_Solo_Program2891011121314151617185253545556575859[[#This Row],[J3 TOTAL]]+Twirling_Solo_Program2891011121314151617185253545556575859[[#This Row],[J4 TOTAL]])</f>
        <v>18.100000000000001</v>
      </c>
      <c r="Z2" s="23"/>
      <c r="AA2" s="23"/>
      <c r="AB2" s="23">
        <f>SUM(Twirling_Solo_Program2891011121314151617185253545556575859[[#This Row],[Total]]-Twirling_Solo_Program2891011121314151617185253545556575859[[#This Row],[Low]]-Twirling_Solo_Program2891011121314151617185253545556575859[[#This Row],[High]])</f>
        <v>18.100000000000001</v>
      </c>
      <c r="AC2" s="23">
        <f>AVERAGE(I2,M2,Q2,U2)</f>
        <v>9.75</v>
      </c>
      <c r="AD2" s="24">
        <f>Twirling_Solo_Program2891011121314151617185253545556575859[[#This Row],[Final Total]]</f>
        <v>18.100000000000001</v>
      </c>
      <c r="AE2" s="25">
        <f>COUNTIFS(Twirling_Solo_Program2891011121314151617185253545556575859[Age
Division],Twirling_Solo_Program2891011121314151617185253545556575859[[#This Row],[Age
Division]],Twirling_Solo_Program2891011121314151617185253545556575859[Category],Twirling_Solo_Program2891011121314151617185253545556575859[[#This Row],[Category]],Twirling_Solo_Program2891011121314151617185253545556575859[FINAL SCORE],"&gt;"&amp;Twirling_Solo_Program2891011121314151617185253545556575859[[#This Row],[FINAL SCORE]])+1</f>
        <v>1</v>
      </c>
      <c r="AF2" s="16" t="s">
        <v>35</v>
      </c>
    </row>
  </sheetData>
  <sheetProtection algorithmName="SHA-512" hashValue="oMWLB1gTQqpuY8KefpO+TqggDbrUdO7Z+F8rSYDH8uFVo1uFVyW9cdNaUsKQPPhoT0TI4NpoiRI0344q82wcJQ==" saltValue="SkhumFWEvv2oW4WPr1FPrw==" spinCount="100000" sheet="1" objects="1" scenarios="1" formatColumns="0" formatRows="0" autoFilter="0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38</vt:i4>
      </vt:variant>
    </vt:vector>
  </HeadingPairs>
  <TitlesOfParts>
    <vt:vector size="78" baseType="lpstr">
      <vt:lpstr>FLOOR 1 BATON CADET-BEG</vt:lpstr>
      <vt:lpstr>FLOOR 1 BATON CADET-INT</vt:lpstr>
      <vt:lpstr>FLOOR 1 BATON JUNIOR-BEG</vt:lpstr>
      <vt:lpstr>FLOOR 1 BATON JUNIOR-INT</vt:lpstr>
      <vt:lpstr>FLOOR 1 BATON JUNIOR-ADV</vt:lpstr>
      <vt:lpstr>FLOOR 1 BATON SENIOR-INT</vt:lpstr>
      <vt:lpstr>FLOOR 1 BATON SENIOR-ADV</vt:lpstr>
      <vt:lpstr>FLOOR 1 BATON SENIOR-PRO</vt:lpstr>
      <vt:lpstr>FLOOR 2 BATONS CAD-LOW</vt:lpstr>
      <vt:lpstr>FLOOR 2 BATONS CAD-UPP</vt:lpstr>
      <vt:lpstr>FLOOR 2 BATONS JUN-LOW</vt:lpstr>
      <vt:lpstr>FLOOR 2 BATONS SEN-LOW</vt:lpstr>
      <vt:lpstr>FLOOR 2 BATONS SEN-UPP</vt:lpstr>
      <vt:lpstr>SOLO DANCE CHILDREN</vt:lpstr>
      <vt:lpstr>SOLO DANCE CAD-BEG</vt:lpstr>
      <vt:lpstr>SOLO DANCE CAD-INT</vt:lpstr>
      <vt:lpstr>SOLO DANCE JUN-BEG</vt:lpstr>
      <vt:lpstr>SOLO DANCE JUN-INT</vt:lpstr>
      <vt:lpstr>SOLO DANCE JUN-ADV</vt:lpstr>
      <vt:lpstr>SOLO DANCE JUN-PRO</vt:lpstr>
      <vt:lpstr>SOLO DANCE SEN-BEG</vt:lpstr>
      <vt:lpstr>SOLO DANCE SEN-INT</vt:lpstr>
      <vt:lpstr>SOLO DANCE SEN-ADV</vt:lpstr>
      <vt:lpstr>SOLO DANCE SEN-PRO</vt:lpstr>
      <vt:lpstr>DUET DANCE CHILDREN</vt:lpstr>
      <vt:lpstr>DUET DANCE CAD-LOW</vt:lpstr>
      <vt:lpstr>Sheet2</vt:lpstr>
      <vt:lpstr>DUET DANCE CAD-UPP</vt:lpstr>
      <vt:lpstr>DUET DANCE JUN-LOW</vt:lpstr>
      <vt:lpstr>DUET DANCE JUN-UPP</vt:lpstr>
      <vt:lpstr>DUET DANCE SEN-LOW</vt:lpstr>
      <vt:lpstr>DUET DANCE SEN-UPP</vt:lpstr>
      <vt:lpstr>TWIRLING TEAM CHILDREN</vt:lpstr>
      <vt:lpstr>TWIRLING TEAM CADET-LOW</vt:lpstr>
      <vt:lpstr>TWIRLING TEAM JUNIOR-LOW</vt:lpstr>
      <vt:lpstr>TWIRLING TEAM SENIOR-LOW</vt:lpstr>
      <vt:lpstr>TWIRLING GROUP CHILDREN</vt:lpstr>
      <vt:lpstr>TWIRLING GROUP CADET</vt:lpstr>
      <vt:lpstr>TWIRLING GROUP JUNIOR</vt:lpstr>
      <vt:lpstr>TWIRLING GROUP SENIOR</vt:lpstr>
      <vt:lpstr>'DUET DANCE CAD-LOW'!Extract</vt:lpstr>
      <vt:lpstr>'DUET DANCE CAD-UPP'!Extract</vt:lpstr>
      <vt:lpstr>'DUET DANCE CHILDREN'!Extract</vt:lpstr>
      <vt:lpstr>'DUET DANCE JUN-LOW'!Extract</vt:lpstr>
      <vt:lpstr>'DUET DANCE JUN-UPP'!Extract</vt:lpstr>
      <vt:lpstr>'DUET DANCE SEN-LOW'!Extract</vt:lpstr>
      <vt:lpstr>'DUET DANCE SEN-UPP'!Extract</vt:lpstr>
      <vt:lpstr>'FLOOR 1 BATON CADET-BEG'!Extract</vt:lpstr>
      <vt:lpstr>'FLOOR 1 BATON CADET-INT'!Extract</vt:lpstr>
      <vt:lpstr>'FLOOR 1 BATON JUNIOR-ADV'!Extract</vt:lpstr>
      <vt:lpstr>'FLOOR 1 BATON JUNIOR-BEG'!Extract</vt:lpstr>
      <vt:lpstr>'FLOOR 1 BATON JUNIOR-INT'!Extract</vt:lpstr>
      <vt:lpstr>'FLOOR 1 BATON SENIOR-ADV'!Extract</vt:lpstr>
      <vt:lpstr>'FLOOR 1 BATON SENIOR-INT'!Extract</vt:lpstr>
      <vt:lpstr>'FLOOR 1 BATON SENIOR-PRO'!Extract</vt:lpstr>
      <vt:lpstr>'FLOOR 2 BATONS CAD-LOW'!Extract</vt:lpstr>
      <vt:lpstr>'FLOOR 2 BATONS CAD-UPP'!Extract</vt:lpstr>
      <vt:lpstr>'FLOOR 2 BATONS JUN-LOW'!Extract</vt:lpstr>
      <vt:lpstr>'FLOOR 2 BATONS SEN-LOW'!Extract</vt:lpstr>
      <vt:lpstr>'FLOOR 2 BATONS SEN-UPP'!Extract</vt:lpstr>
      <vt:lpstr>'SOLO DANCE CAD-BEG'!Extract</vt:lpstr>
      <vt:lpstr>'SOLO DANCE CAD-INT'!Extract</vt:lpstr>
      <vt:lpstr>'SOLO DANCE CHILDREN'!Extract</vt:lpstr>
      <vt:lpstr>'SOLO DANCE JUN-BEG'!Extract</vt:lpstr>
      <vt:lpstr>'SOLO DANCE JUN-INT'!Extract</vt:lpstr>
      <vt:lpstr>'SOLO DANCE JUN-PRO'!Extract</vt:lpstr>
      <vt:lpstr>'SOLO DANCE SEN-ADV'!Extract</vt:lpstr>
      <vt:lpstr>'SOLO DANCE SEN-BEG'!Extract</vt:lpstr>
      <vt:lpstr>'SOLO DANCE SEN-INT'!Extract</vt:lpstr>
      <vt:lpstr>'SOLO DANCE SEN-PRO'!Extract</vt:lpstr>
      <vt:lpstr>'TWIRLING GROUP CADET'!Extract</vt:lpstr>
      <vt:lpstr>'TWIRLING GROUP CHILDREN'!Extract</vt:lpstr>
      <vt:lpstr>'TWIRLING GROUP JUNIOR'!Extract</vt:lpstr>
      <vt:lpstr>'TWIRLING GROUP SENIOR'!Extract</vt:lpstr>
      <vt:lpstr>'TWIRLING TEAM CADET-LOW'!Extract</vt:lpstr>
      <vt:lpstr>'TWIRLING TEAM CHILDREN'!Extract</vt:lpstr>
      <vt:lpstr>'TWIRLING TEAM JUNIOR-LOW'!Extract</vt:lpstr>
      <vt:lpstr>'TWIRLING TEAM SENIOR-LOW'!Extract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SAMOBORfest TWIRLING PROGRAM - RESULTS</dc:title>
  <dc:subject/>
  <dc:creator>MKS STUDIO</dc:creator>
  <cp:keywords>SAMOBORfest</cp:keywords>
  <dc:description/>
  <cp:lastModifiedBy>Tamara Beljak</cp:lastModifiedBy>
  <cp:revision/>
  <cp:lastPrinted>2022-06-05T17:33:43Z</cp:lastPrinted>
  <dcterms:created xsi:type="dcterms:W3CDTF">2019-01-27T20:49:00Z</dcterms:created>
  <dcterms:modified xsi:type="dcterms:W3CDTF">2022-08-01T20:46:31Z</dcterms:modified>
  <cp:category/>
  <cp:contentStatus/>
</cp:coreProperties>
</file>