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2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3.xml" ContentType="application/vnd.openxmlformats-officedocument.spreadsheetml.comments+xml"/>
  <Override PartName="/xl/tables/table17.xml" ContentType="application/vnd.openxmlformats-officedocument.spreadsheetml.table+xml"/>
  <Override PartName="/xl/comments4.xml" ContentType="application/vnd.openxmlformats-officedocument.spreadsheetml.comments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comments5.xml" ContentType="application/vnd.openxmlformats-officedocument.spreadsheetml.comments+xml"/>
  <Override PartName="/xl/tables/table39.xml" ContentType="application/vnd.openxmlformats-officedocument.spreadsheetml.table+xml"/>
  <Override PartName="/xl/comments6.xml" ContentType="application/vnd.openxmlformats-officedocument.spreadsheetml.comments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eLivro"/>
  <mc:AlternateContent xmlns:mc="http://schemas.openxmlformats.org/markup-compatibility/2006">
    <mc:Choice Requires="x15">
      <x15ac:absPath xmlns:x15ac="http://schemas.microsoft.com/office/spreadsheetml/2010/11/ac" url="C:\Users\User\Desktop\2022 SAMOBORfest\2022 REZULTATI LOCKED\"/>
    </mc:Choice>
  </mc:AlternateContent>
  <xr:revisionPtr revIDLastSave="0" documentId="13_ncr:1_{FA1BAA9D-F38D-49E4-97DB-3A720B98AA31}" xr6:coauthVersionLast="47" xr6:coauthVersionMax="47" xr10:uidLastSave="{00000000-0000-0000-0000-000000000000}"/>
  <bookViews>
    <workbookView xWindow="-108" yWindow="-108" windowWidth="23256" windowHeight="12456" tabRatio="782" xr2:uid="{00000000-000D-0000-FFFF-FFFF00000000}"/>
  </bookViews>
  <sheets>
    <sheet name="MAJORETTE SOLO CHILDREN" sheetId="30" r:id="rId1"/>
    <sheet name="MAJORETTE SOLO CADET" sheetId="31" r:id="rId2"/>
    <sheet name="MAJORETTE SOLO JUNIOR" sheetId="41" r:id="rId3"/>
    <sheet name="MAJORETTE SOLO SENIOR" sheetId="33" r:id="rId4"/>
    <sheet name="ACCESSORIES SOLO CHILDREN" sheetId="32" r:id="rId5"/>
    <sheet name="ACCESSORIES SOLO-CADET" sheetId="26" r:id="rId6"/>
    <sheet name="ACCESSORIES SOLO JUNIOR" sheetId="38" r:id="rId7"/>
    <sheet name="ACCESSORIES SOLO SENIOR" sheetId="52" r:id="rId8"/>
    <sheet name="POMPON SOLO CHILDREN" sheetId="35" r:id="rId9"/>
    <sheet name="POMPON SOLO JUNIOR" sheetId="34" r:id="rId10"/>
    <sheet name="MAJORETTE DUO-TRIO CHILDREN" sheetId="42" r:id="rId11"/>
    <sheet name="MAJORETTE DUO-TRIO CADET" sheetId="40" r:id="rId12"/>
    <sheet name="MAJORETTE DUO-TRIO JUNIOR" sheetId="27" r:id="rId13"/>
    <sheet name="MAJORETTE DUO-TRIO SENIOR" sheetId="51" r:id="rId14"/>
    <sheet name="ACCESSORIES DUO CHILDREN" sheetId="37" r:id="rId15"/>
    <sheet name="ACCESSORIES DUO CADET" sheetId="39" r:id="rId16"/>
    <sheet name="ACCESSORIES DUO JUNIOR" sheetId="50" r:id="rId17"/>
    <sheet name="ACCESSORIES DUO SENIOR" sheetId="36" r:id="rId18"/>
    <sheet name="POMPON DUO-TRIO CHILDREN" sheetId="25" r:id="rId19"/>
    <sheet name="POMPON DUO-TRIO JUNIOR" sheetId="43" r:id="rId20"/>
    <sheet name="POMPON DUO-TRIO SENIOR" sheetId="29" r:id="rId21"/>
    <sheet name="TRADITIONAL MAJORETTE GROUP-MIN" sheetId="16" r:id="rId22"/>
    <sheet name="TRADITIONAL MAJORETTE GROUP-CH" sheetId="17" r:id="rId23"/>
    <sheet name="TRADITIONAL MAJORETTE GROUP-CAD" sheetId="18" r:id="rId24"/>
    <sheet name="TRADITIONAL MAJORETTE GROUP-JUN" sheetId="20" r:id="rId25"/>
    <sheet name="MODERN MAJORETTE TEAM-CADET" sheetId="19" r:id="rId26"/>
    <sheet name="MODERN MAJORETTE TEAM-JUNIOR" sheetId="21" r:id="rId27"/>
    <sheet name="MODERN MAJORETTE TEAM-SENIOR" sheetId="22" r:id="rId28"/>
    <sheet name="MODERN MAJORETTE GROUP-CADET" sheetId="14" r:id="rId29"/>
    <sheet name="MODERN MAJORETTE GROUP-JUNIOR" sheetId="10" r:id="rId30"/>
    <sheet name="MODERN MAJORETTE GROUP-SENIOR" sheetId="15" r:id="rId31"/>
    <sheet name="POMPON TEAM-CADET" sheetId="23" r:id="rId32"/>
    <sheet name="POMPON TEAM-JUNIOR" sheetId="24" r:id="rId33"/>
    <sheet name="POMPON GROUP-CHILDREN" sheetId="45" r:id="rId34"/>
    <sheet name="POMPON GROUP-CADET" sheetId="46" r:id="rId35"/>
    <sheet name="POMPON GROUP JUNIOR" sheetId="55" r:id="rId36"/>
    <sheet name="TEAM MIX JUNIOR" sheetId="56" r:id="rId37"/>
    <sheet name="SHOW DANCE-CHILDREN" sheetId="47" r:id="rId38"/>
    <sheet name="SHOW DANCE CADET" sheetId="53" r:id="rId39"/>
    <sheet name="SHOW DANCE JUNIOR" sheetId="54" r:id="rId40"/>
    <sheet name="SHOW DANCE SENIOR" sheetId="57" r:id="rId41"/>
    <sheet name="BATONFLAG-CADET" sheetId="48" r:id="rId42"/>
    <sheet name="BATONFLAG-JUNIOR" sheetId="49" r:id="rId43"/>
    <sheet name="FLAGS" sheetId="44" r:id="rId44"/>
  </sheets>
  <definedNames>
    <definedName name="_xlnm._FilterDatabase" localSheetId="15" hidden="1">'ACCESSORIES DUO CADET'!$A$1:$AD$7</definedName>
    <definedName name="_xlnm._FilterDatabase" localSheetId="14" hidden="1">'ACCESSORIES DUO CHILDREN'!$A$1:$AD$2</definedName>
    <definedName name="_xlnm._FilterDatabase" localSheetId="16" hidden="1">'ACCESSORIES DUO JUNIOR'!$A$1:$AD$7</definedName>
    <definedName name="_xlnm._FilterDatabase" localSheetId="17" hidden="1">'ACCESSORIES DUO SENIOR'!$A$1:$AD$2</definedName>
    <definedName name="_xlnm._FilterDatabase" localSheetId="4" hidden="1">'ACCESSORIES SOLO CHILDREN'!$A$1:$AD$3</definedName>
    <definedName name="_xlnm._FilterDatabase" localSheetId="6" hidden="1">'ACCESSORIES SOLO JUNIOR'!$A$1:$AD$6</definedName>
    <definedName name="_xlnm._FilterDatabase" localSheetId="7" hidden="1">'ACCESSORIES SOLO SENIOR'!$A$1:$AD$3</definedName>
    <definedName name="_xlnm._FilterDatabase" localSheetId="5" hidden="1">'ACCESSORIES SOLO-CADET'!$A$1:$AD$8</definedName>
    <definedName name="_xlnm._FilterDatabase" localSheetId="41" hidden="1">'BATONFLAG-CADET'!$A$1:$AD$2</definedName>
    <definedName name="_xlnm._FilterDatabase" localSheetId="42" hidden="1">'BATONFLAG-JUNIOR'!$A$1:$AD$2</definedName>
    <definedName name="_xlnm._FilterDatabase" localSheetId="43" hidden="1">FLAGS!$A$1:$AD$2</definedName>
    <definedName name="_xlnm._FilterDatabase" localSheetId="11" hidden="1">'MAJORETTE DUO-TRIO CADET'!$A$1:$AD$6</definedName>
    <definedName name="_xlnm._FilterDatabase" localSheetId="10" hidden="1">'MAJORETTE DUO-TRIO CHILDREN'!$A$1:$AD$4</definedName>
    <definedName name="_xlnm._FilterDatabase" localSheetId="12" hidden="1">'MAJORETTE DUO-TRIO JUNIOR'!$A$1:$AD$3</definedName>
    <definedName name="_xlnm._FilterDatabase" localSheetId="13" hidden="1">'MAJORETTE DUO-TRIO SENIOR'!$A$1:$AD$5</definedName>
    <definedName name="_xlnm._FilterDatabase" localSheetId="1" hidden="1">'MAJORETTE SOLO CADET'!$A$1:$AD$11</definedName>
    <definedName name="_xlnm._FilterDatabase" localSheetId="0" hidden="1">'MAJORETTE SOLO CHILDREN'!$A$1:$AD$9</definedName>
    <definedName name="_xlnm._FilterDatabase" localSheetId="2" hidden="1">'MAJORETTE SOLO JUNIOR'!$A$1:$AD$7</definedName>
    <definedName name="_xlnm._FilterDatabase" localSheetId="3" hidden="1">'MAJORETTE SOLO SENIOR'!$A$1:$AD$5</definedName>
    <definedName name="_xlnm._FilterDatabase" localSheetId="28" hidden="1">'MODERN MAJORETTE GROUP-CADET'!$A$1:$AD$2</definedName>
    <definedName name="_xlnm._FilterDatabase" localSheetId="29" hidden="1">'MODERN MAJORETTE GROUP-JUNIOR'!$A$1:$AD$3</definedName>
    <definedName name="_xlnm._FilterDatabase" localSheetId="30" hidden="1">'MODERN MAJORETTE GROUP-SENIOR'!$A$1:$AD$2</definedName>
    <definedName name="_xlnm._FilterDatabase" localSheetId="25" hidden="1">'MODERN MAJORETTE TEAM-CADET'!$A$1:$AD$4</definedName>
    <definedName name="_xlnm._FilterDatabase" localSheetId="26" hidden="1">'MODERN MAJORETTE TEAM-JUNIOR'!$A$1:$AD$3</definedName>
    <definedName name="_xlnm._FilterDatabase" localSheetId="27" hidden="1">'MODERN MAJORETTE TEAM-SENIOR'!$A$1:$AD$2</definedName>
    <definedName name="_xlnm._FilterDatabase" localSheetId="18" hidden="1">'POMPON DUO-TRIO CHILDREN'!$A$1:$AD$3</definedName>
    <definedName name="_xlnm._FilterDatabase" localSheetId="19" hidden="1">'POMPON DUO-TRIO JUNIOR'!$A$1:$AD$2</definedName>
    <definedName name="_xlnm._FilterDatabase" localSheetId="20" hidden="1">'POMPON DUO-TRIO SENIOR'!$A$1:$AD$2</definedName>
    <definedName name="_xlnm._FilterDatabase" localSheetId="35" hidden="1">'POMPON GROUP JUNIOR'!$A$1:$AD$4</definedName>
    <definedName name="_xlnm._FilterDatabase" localSheetId="34" hidden="1">'POMPON GROUP-CADET'!$A$1:$AD$2</definedName>
    <definedName name="_xlnm._FilterDatabase" localSheetId="33" hidden="1">'POMPON GROUP-CHILDREN'!$A$1:$AD$2</definedName>
    <definedName name="_xlnm._FilterDatabase" localSheetId="8" hidden="1">'POMPON SOLO CHILDREN'!$A$1:$AD$2</definedName>
    <definedName name="_xlnm._FilterDatabase" localSheetId="9" hidden="1">'POMPON SOLO JUNIOR'!$A$1:$AD$3</definedName>
    <definedName name="_xlnm._FilterDatabase" localSheetId="31" hidden="1">'POMPON TEAM-CADET'!$A$1:$AD$2</definedName>
    <definedName name="_xlnm._FilterDatabase" localSheetId="32" hidden="1">'POMPON TEAM-JUNIOR'!$A$1:$AD$2</definedName>
    <definedName name="_xlnm._FilterDatabase" localSheetId="38" hidden="1">'SHOW DANCE CADET'!$A$1:$AD$4</definedName>
    <definedName name="_xlnm._FilterDatabase" localSheetId="39" hidden="1">'SHOW DANCE JUNIOR'!$A$1:$AD$2</definedName>
    <definedName name="_xlnm._FilterDatabase" localSheetId="40" hidden="1">'SHOW DANCE SENIOR'!$A$1:$AD$2</definedName>
    <definedName name="_xlnm._FilterDatabase" localSheetId="37" hidden="1">'SHOW DANCE-CHILDREN'!$A$1:$AD$2</definedName>
    <definedName name="_xlnm._FilterDatabase" localSheetId="36" hidden="1">'TEAM MIX JUNIOR'!$A$1:$AD$2</definedName>
    <definedName name="_xlnm._FilterDatabase" localSheetId="23" hidden="1">'TRADITIONAL MAJORETTE GROUP-CAD'!$A$1:$AD$3</definedName>
    <definedName name="_xlnm._FilterDatabase" localSheetId="22" hidden="1">'TRADITIONAL MAJORETTE GROUP-CH'!$A$1:$AD$4</definedName>
    <definedName name="_xlnm._FilterDatabase" localSheetId="24" hidden="1">'TRADITIONAL MAJORETTE GROUP-JUN'!$A$1:$AD$2</definedName>
    <definedName name="_xlnm._FilterDatabase" localSheetId="21" hidden="1">'TRADITIONAL MAJORETTE GROUP-MIN'!$A$1:$AD$2</definedName>
    <definedName name="_xlnm.Extract" localSheetId="15">'ACCESSORIES DUO CADET'!$AE$1:$AX$1</definedName>
    <definedName name="_xlnm.Extract" localSheetId="14">'ACCESSORIES DUO CHILDREN'!$AE$1:$AX$1</definedName>
    <definedName name="_xlnm.Extract" localSheetId="16">'ACCESSORIES DUO JUNIOR'!$AE$1:$AX$1</definedName>
    <definedName name="_xlnm.Extract" localSheetId="17">'ACCESSORIES DUO SENIOR'!$AE$1:$AX$1</definedName>
    <definedName name="_xlnm.Extract" localSheetId="4">'ACCESSORIES SOLO CHILDREN'!$AE$1:$AX$1</definedName>
    <definedName name="_xlnm.Extract" localSheetId="6">'ACCESSORIES SOLO JUNIOR'!$AE$1:$AX$1</definedName>
    <definedName name="_xlnm.Extract" localSheetId="7">'ACCESSORIES SOLO SENIOR'!$AE$1:$AX$1</definedName>
    <definedName name="_xlnm.Extract" localSheetId="5">'ACCESSORIES SOLO-CADET'!$AE$1:$AX$1</definedName>
    <definedName name="_xlnm.Extract" localSheetId="41">'BATONFLAG-CADET'!$AE$1:$AX$1</definedName>
    <definedName name="_xlnm.Extract" localSheetId="42">'BATONFLAG-JUNIOR'!$AE$1:$AX$1</definedName>
    <definedName name="_xlnm.Extract" localSheetId="43">FLAGS!$AE$1:$AX$1</definedName>
    <definedName name="_xlnm.Extract" localSheetId="11">'MAJORETTE DUO-TRIO CADET'!$AE$1:$AX$1</definedName>
    <definedName name="_xlnm.Extract" localSheetId="10">'MAJORETTE DUO-TRIO CHILDREN'!$AE$1:$AX$1</definedName>
    <definedName name="_xlnm.Extract" localSheetId="12">'MAJORETTE DUO-TRIO JUNIOR'!$AE$1:$AX$1</definedName>
    <definedName name="_xlnm.Extract" localSheetId="13">'MAJORETTE DUO-TRIO SENIOR'!$AE$1:$AX$1</definedName>
    <definedName name="_xlnm.Extract" localSheetId="1">'MAJORETTE SOLO CADET'!$AE$1:$AX$1</definedName>
    <definedName name="_xlnm.Extract" localSheetId="0">'MAJORETTE SOLO CHILDREN'!$AE$1:$AX$1</definedName>
    <definedName name="_xlnm.Extract" localSheetId="2">'MAJORETTE SOLO JUNIOR'!$AE$1:$AX$1</definedName>
    <definedName name="_xlnm.Extract" localSheetId="3">'MAJORETTE SOLO SENIOR'!$AE$1:$AX$1</definedName>
    <definedName name="_xlnm.Extract" localSheetId="28">'MODERN MAJORETTE GROUP-CADET'!$AE$1:$AX$1</definedName>
    <definedName name="_xlnm.Extract" localSheetId="29">'MODERN MAJORETTE GROUP-JUNIOR'!$AE$1:$AX$1</definedName>
    <definedName name="_xlnm.Extract" localSheetId="30">'MODERN MAJORETTE GROUP-SENIOR'!$AE$1:$AX$1</definedName>
    <definedName name="_xlnm.Extract" localSheetId="25">'MODERN MAJORETTE TEAM-CADET'!$AE$1:$AX$1</definedName>
    <definedName name="_xlnm.Extract" localSheetId="26">'MODERN MAJORETTE TEAM-JUNIOR'!$AE$1:$AX$1</definedName>
    <definedName name="_xlnm.Extract" localSheetId="27">'MODERN MAJORETTE TEAM-SENIOR'!$AE$1:$AX$1</definedName>
    <definedName name="_xlnm.Extract" localSheetId="18">'POMPON DUO-TRIO CHILDREN'!$AE$1:$AX$1</definedName>
    <definedName name="_xlnm.Extract" localSheetId="19">'POMPON DUO-TRIO JUNIOR'!$AE$1:$AX$1</definedName>
    <definedName name="_xlnm.Extract" localSheetId="20">'POMPON DUO-TRIO SENIOR'!$AE$1:$AX$1</definedName>
    <definedName name="_xlnm.Extract" localSheetId="35">'POMPON GROUP JUNIOR'!$AE$1:$AX$1</definedName>
    <definedName name="_xlnm.Extract" localSheetId="34">'POMPON GROUP-CADET'!$AE$1:$AX$1</definedName>
    <definedName name="_xlnm.Extract" localSheetId="33">'POMPON GROUP-CHILDREN'!$AE$1:$AX$1</definedName>
    <definedName name="_xlnm.Extract" localSheetId="8">'POMPON SOLO CHILDREN'!$AE$1:$AX$1</definedName>
    <definedName name="_xlnm.Extract" localSheetId="9">'POMPON SOLO JUNIOR'!$AE$1:$AX$1</definedName>
    <definedName name="_xlnm.Extract" localSheetId="31">'POMPON TEAM-CADET'!$AE$1:$AX$1</definedName>
    <definedName name="_xlnm.Extract" localSheetId="32">'POMPON TEAM-JUNIOR'!$AE$1:$AX$1</definedName>
    <definedName name="_xlnm.Extract" localSheetId="38">'SHOW DANCE CADET'!$AE$1:$AX$1</definedName>
    <definedName name="_xlnm.Extract" localSheetId="39">'SHOW DANCE JUNIOR'!$AE$1:$AX$1</definedName>
    <definedName name="_xlnm.Extract" localSheetId="40">'SHOW DANCE SENIOR'!$AE$1:$AX$1</definedName>
    <definedName name="_xlnm.Extract" localSheetId="37">'SHOW DANCE-CHILDREN'!$AE$1:$AX$1</definedName>
    <definedName name="_xlnm.Extract" localSheetId="36">'TEAM MIX JUNIOR'!$AE$1:$AX$1</definedName>
    <definedName name="_xlnm.Extract" localSheetId="23">'TRADITIONAL MAJORETTE GROUP-CAD'!$AE$1:$AX$1</definedName>
    <definedName name="_xlnm.Extract" localSheetId="22">'TRADITIONAL MAJORETTE GROUP-CH'!$AE$1:$AX$1</definedName>
    <definedName name="_xlnm.Extract" localSheetId="24">'TRADITIONAL MAJORETTE GROUP-JUN'!$AE$1:$AX$1</definedName>
    <definedName name="_xlnm.Extract" localSheetId="21">'TRADITIONAL MAJORETTE GROUP-MIN'!$AE$1:$AX$1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41" l="1"/>
  <c r="J4" i="41"/>
  <c r="J5" i="41"/>
  <c r="J6" i="41"/>
  <c r="J7" i="41"/>
  <c r="J3" i="18"/>
  <c r="V3" i="55" l="1"/>
  <c r="AB2" i="57"/>
  <c r="V2" i="57"/>
  <c r="W2" i="57" s="1"/>
  <c r="R2" i="57"/>
  <c r="S2" i="57" s="1"/>
  <c r="N2" i="57"/>
  <c r="O2" i="57" s="1"/>
  <c r="J2" i="57"/>
  <c r="AB2" i="56"/>
  <c r="V2" i="56"/>
  <c r="W2" i="56" s="1"/>
  <c r="R2" i="56"/>
  <c r="S2" i="56" s="1"/>
  <c r="N2" i="56"/>
  <c r="O2" i="56" s="1"/>
  <c r="J2" i="56"/>
  <c r="J3" i="55"/>
  <c r="J4" i="55"/>
  <c r="N3" i="55"/>
  <c r="N4" i="55"/>
  <c r="R3" i="55"/>
  <c r="R4" i="55"/>
  <c r="S4" i="55" s="1"/>
  <c r="V4" i="55"/>
  <c r="W4" i="55" s="1"/>
  <c r="AB3" i="55"/>
  <c r="AB4" i="55"/>
  <c r="AB2" i="55"/>
  <c r="V2" i="55"/>
  <c r="R2" i="55"/>
  <c r="N2" i="55"/>
  <c r="J2" i="55"/>
  <c r="AB2" i="54"/>
  <c r="V2" i="54"/>
  <c r="W2" i="54" s="1"/>
  <c r="R2" i="54"/>
  <c r="S2" i="54" s="1"/>
  <c r="N2" i="54"/>
  <c r="O2" i="54" s="1"/>
  <c r="J2" i="54"/>
  <c r="J3" i="53"/>
  <c r="J2" i="53"/>
  <c r="K2" i="53" s="1"/>
  <c r="N3" i="53"/>
  <c r="N2" i="53"/>
  <c r="O2" i="53" s="1"/>
  <c r="R3" i="53"/>
  <c r="R2" i="53"/>
  <c r="S2" i="53" s="1"/>
  <c r="V3" i="53"/>
  <c r="V2" i="53"/>
  <c r="AB3" i="53"/>
  <c r="AB2" i="53"/>
  <c r="AB4" i="53"/>
  <c r="V4" i="53"/>
  <c r="W4" i="53" s="1"/>
  <c r="R4" i="53"/>
  <c r="N4" i="53"/>
  <c r="J4" i="53"/>
  <c r="AB2" i="52"/>
  <c r="V2" i="52"/>
  <c r="R2" i="52"/>
  <c r="N2" i="52"/>
  <c r="J2" i="52"/>
  <c r="AB3" i="52"/>
  <c r="V3" i="52"/>
  <c r="R3" i="52"/>
  <c r="N3" i="52"/>
  <c r="O3" i="52" s="1"/>
  <c r="J3" i="52"/>
  <c r="AB2" i="51"/>
  <c r="V2" i="51"/>
  <c r="R2" i="51"/>
  <c r="N2" i="51"/>
  <c r="J2" i="51"/>
  <c r="AB5" i="51"/>
  <c r="V5" i="51"/>
  <c r="R5" i="51"/>
  <c r="S5" i="51" s="1"/>
  <c r="N5" i="51"/>
  <c r="O5" i="51" s="1"/>
  <c r="J5" i="51"/>
  <c r="K5" i="51" s="1"/>
  <c r="AB4" i="51"/>
  <c r="V4" i="51"/>
  <c r="R4" i="51"/>
  <c r="N4" i="51"/>
  <c r="J4" i="51"/>
  <c r="AB3" i="51"/>
  <c r="V3" i="51"/>
  <c r="R3" i="51"/>
  <c r="N3" i="51"/>
  <c r="J3" i="51"/>
  <c r="J2" i="50"/>
  <c r="K2" i="50" s="1"/>
  <c r="N2" i="50"/>
  <c r="R2" i="50"/>
  <c r="S2" i="50" s="1"/>
  <c r="V2" i="50"/>
  <c r="AB2" i="50"/>
  <c r="J4" i="50"/>
  <c r="N4" i="50"/>
  <c r="O4" i="50" s="1"/>
  <c r="R4" i="50"/>
  <c r="V4" i="50"/>
  <c r="AB4" i="50"/>
  <c r="J3" i="50"/>
  <c r="N3" i="50"/>
  <c r="R3" i="50"/>
  <c r="V3" i="50"/>
  <c r="AB3" i="50"/>
  <c r="J5" i="50"/>
  <c r="N5" i="50"/>
  <c r="R5" i="50"/>
  <c r="V5" i="50"/>
  <c r="AB5" i="50"/>
  <c r="J7" i="50"/>
  <c r="N7" i="50"/>
  <c r="R7" i="50"/>
  <c r="S7" i="50" s="1"/>
  <c r="V7" i="50"/>
  <c r="AB7" i="50"/>
  <c r="AB6" i="50"/>
  <c r="V6" i="50"/>
  <c r="R6" i="50"/>
  <c r="N6" i="50"/>
  <c r="J6" i="50"/>
  <c r="AB2" i="49"/>
  <c r="V2" i="49"/>
  <c r="W2" i="49" s="1"/>
  <c r="R2" i="49"/>
  <c r="S2" i="49" s="1"/>
  <c r="N2" i="49"/>
  <c r="O2" i="49" s="1"/>
  <c r="J2" i="49"/>
  <c r="AB2" i="48"/>
  <c r="W2" i="48"/>
  <c r="V2" i="48"/>
  <c r="R2" i="48"/>
  <c r="S2" i="48" s="1"/>
  <c r="N2" i="48"/>
  <c r="O2" i="48" s="1"/>
  <c r="J2" i="48"/>
  <c r="AB2" i="47"/>
  <c r="V2" i="47"/>
  <c r="W2" i="47" s="1"/>
  <c r="R2" i="47"/>
  <c r="S2" i="47" s="1"/>
  <c r="N2" i="47"/>
  <c r="O2" i="47" s="1"/>
  <c r="J2" i="47"/>
  <c r="AB2" i="46"/>
  <c r="V2" i="46"/>
  <c r="R2" i="46"/>
  <c r="S2" i="46" s="1"/>
  <c r="N2" i="46"/>
  <c r="O2" i="46" s="1"/>
  <c r="J2" i="46"/>
  <c r="K2" i="46" s="1"/>
  <c r="AB2" i="45"/>
  <c r="W2" i="45"/>
  <c r="V2" i="45"/>
  <c r="R2" i="45"/>
  <c r="S2" i="45" s="1"/>
  <c r="N2" i="45"/>
  <c r="O2" i="45" s="1"/>
  <c r="J2" i="45"/>
  <c r="AB2" i="44"/>
  <c r="V2" i="44"/>
  <c r="W2" i="44" s="1"/>
  <c r="R2" i="44"/>
  <c r="S2" i="44" s="1"/>
  <c r="N2" i="44"/>
  <c r="O2" i="44" s="1"/>
  <c r="J2" i="44"/>
  <c r="K2" i="44" s="1"/>
  <c r="AB2" i="43"/>
  <c r="V2" i="43"/>
  <c r="W2" i="43" s="1"/>
  <c r="R2" i="43"/>
  <c r="S2" i="43" s="1"/>
  <c r="N2" i="43"/>
  <c r="O2" i="43" s="1"/>
  <c r="J2" i="43"/>
  <c r="AB4" i="42"/>
  <c r="V4" i="42"/>
  <c r="R4" i="42"/>
  <c r="N4" i="42"/>
  <c r="K4" i="42"/>
  <c r="J4" i="42"/>
  <c r="AB3" i="42"/>
  <c r="V3" i="42"/>
  <c r="W3" i="42" s="1"/>
  <c r="R3" i="42"/>
  <c r="S3" i="42" s="1"/>
  <c r="N3" i="42"/>
  <c r="K3" i="42"/>
  <c r="J3" i="42"/>
  <c r="AB2" i="42"/>
  <c r="V2" i="42"/>
  <c r="R2" i="42"/>
  <c r="N2" i="42"/>
  <c r="J2" i="42"/>
  <c r="N4" i="41"/>
  <c r="R4" i="41"/>
  <c r="V4" i="41"/>
  <c r="AB4" i="41"/>
  <c r="AB6" i="41"/>
  <c r="V6" i="41"/>
  <c r="R6" i="41"/>
  <c r="N6" i="41"/>
  <c r="AB2" i="41"/>
  <c r="V2" i="41"/>
  <c r="R2" i="41"/>
  <c r="N2" i="41"/>
  <c r="J2" i="41"/>
  <c r="AB7" i="41"/>
  <c r="V7" i="41"/>
  <c r="R7" i="41"/>
  <c r="N7" i="41"/>
  <c r="AB5" i="41"/>
  <c r="V5" i="41"/>
  <c r="R5" i="41"/>
  <c r="N5" i="41"/>
  <c r="AB3" i="41"/>
  <c r="W3" i="41"/>
  <c r="V3" i="41"/>
  <c r="R3" i="41"/>
  <c r="N3" i="41"/>
  <c r="AB5" i="40"/>
  <c r="V5" i="40"/>
  <c r="R5" i="40"/>
  <c r="N5" i="40"/>
  <c r="J5" i="40"/>
  <c r="AB3" i="40"/>
  <c r="V3" i="40"/>
  <c r="W3" i="40" s="1"/>
  <c r="R3" i="40"/>
  <c r="S3" i="40" s="1"/>
  <c r="N3" i="40"/>
  <c r="J3" i="40"/>
  <c r="AB2" i="40"/>
  <c r="V2" i="40"/>
  <c r="R2" i="40"/>
  <c r="N2" i="40"/>
  <c r="J2" i="40"/>
  <c r="AB4" i="40"/>
  <c r="V4" i="40"/>
  <c r="W4" i="40" s="1"/>
  <c r="R4" i="40"/>
  <c r="N4" i="40"/>
  <c r="O4" i="40" s="1"/>
  <c r="J4" i="40"/>
  <c r="K4" i="40" s="1"/>
  <c r="AB6" i="40"/>
  <c r="V6" i="40"/>
  <c r="R6" i="40"/>
  <c r="N6" i="40"/>
  <c r="J6" i="40"/>
  <c r="J4" i="39"/>
  <c r="N4" i="39"/>
  <c r="R4" i="39"/>
  <c r="V4" i="39"/>
  <c r="AB4" i="39"/>
  <c r="AB3" i="39"/>
  <c r="V3" i="39"/>
  <c r="R3" i="39"/>
  <c r="N3" i="39"/>
  <c r="J3" i="39"/>
  <c r="AB7" i="39"/>
  <c r="V7" i="39"/>
  <c r="R7" i="39"/>
  <c r="N7" i="39"/>
  <c r="J7" i="39"/>
  <c r="K7" i="39" s="1"/>
  <c r="AB2" i="39"/>
  <c r="V2" i="39"/>
  <c r="R2" i="39"/>
  <c r="N2" i="39"/>
  <c r="J2" i="39"/>
  <c r="AB6" i="39"/>
  <c r="V6" i="39"/>
  <c r="R6" i="39"/>
  <c r="N6" i="39"/>
  <c r="J6" i="39"/>
  <c r="AB5" i="39"/>
  <c r="V5" i="39"/>
  <c r="W7" i="39" s="1"/>
  <c r="R5" i="39"/>
  <c r="S5" i="39" s="1"/>
  <c r="N5" i="39"/>
  <c r="J5" i="39"/>
  <c r="J5" i="38"/>
  <c r="N5" i="38"/>
  <c r="R5" i="38"/>
  <c r="V5" i="38"/>
  <c r="W5" i="38" s="1"/>
  <c r="AB5" i="38"/>
  <c r="J2" i="38"/>
  <c r="N2" i="38"/>
  <c r="O2" i="38" s="1"/>
  <c r="R2" i="38"/>
  <c r="S2" i="38" s="1"/>
  <c r="V2" i="38"/>
  <c r="AB2" i="38"/>
  <c r="J4" i="38"/>
  <c r="N4" i="38"/>
  <c r="R4" i="38"/>
  <c r="V4" i="38"/>
  <c r="AB4" i="38"/>
  <c r="J6" i="38"/>
  <c r="N6" i="38"/>
  <c r="R6" i="38"/>
  <c r="S6" i="38" s="1"/>
  <c r="V6" i="38"/>
  <c r="W6" i="38" s="1"/>
  <c r="AB6" i="38"/>
  <c r="AB3" i="38"/>
  <c r="V3" i="38"/>
  <c r="R3" i="38"/>
  <c r="N3" i="38"/>
  <c r="J3" i="38"/>
  <c r="X2" i="57" l="1"/>
  <c r="Z2" i="56"/>
  <c r="Y3" i="53"/>
  <c r="Z3" i="53"/>
  <c r="W2" i="50"/>
  <c r="X2" i="51"/>
  <c r="AA2" i="51" s="1"/>
  <c r="AC2" i="51" s="1"/>
  <c r="X4" i="41"/>
  <c r="AA4" i="41" s="1"/>
  <c r="AC4" i="41" s="1"/>
  <c r="X2" i="41"/>
  <c r="AA2" i="41" s="1"/>
  <c r="AC2" i="41" s="1"/>
  <c r="O2" i="42"/>
  <c r="X4" i="39"/>
  <c r="AA4" i="39" s="1"/>
  <c r="AC4" i="39" s="1"/>
  <c r="X5" i="38"/>
  <c r="AA5" i="38" s="1"/>
  <c r="AC5" i="38" s="1"/>
  <c r="S3" i="55"/>
  <c r="S2" i="55"/>
  <c r="X2" i="55"/>
  <c r="Z4" i="55"/>
  <c r="O6" i="38"/>
  <c r="K6" i="40"/>
  <c r="X2" i="39"/>
  <c r="AA2" i="39" s="1"/>
  <c r="AC2" i="39" s="1"/>
  <c r="S4" i="42"/>
  <c r="O5" i="39"/>
  <c r="S2" i="39"/>
  <c r="O4" i="41"/>
  <c r="S7" i="41"/>
  <c r="X3" i="42"/>
  <c r="AA3" i="42" s="1"/>
  <c r="AC3" i="42" s="1"/>
  <c r="O4" i="53"/>
  <c r="X3" i="53"/>
  <c r="AA3" i="53" s="1"/>
  <c r="AC3" i="53" s="1"/>
  <c r="Z2" i="54"/>
  <c r="K4" i="55"/>
  <c r="K3" i="40"/>
  <c r="S3" i="41"/>
  <c r="Z2" i="47"/>
  <c r="W4" i="51"/>
  <c r="X3" i="52"/>
  <c r="AA3" i="52" s="1"/>
  <c r="AC3" i="52" s="1"/>
  <c r="AD3" i="52" s="1"/>
  <c r="S4" i="53"/>
  <c r="K3" i="55"/>
  <c r="S3" i="50"/>
  <c r="O2" i="50"/>
  <c r="Z3" i="55"/>
  <c r="X2" i="49"/>
  <c r="S3" i="53"/>
  <c r="W3" i="55"/>
  <c r="W4" i="39"/>
  <c r="O6" i="39"/>
  <c r="O4" i="39"/>
  <c r="X5" i="40"/>
  <c r="AA5" i="40" s="1"/>
  <c r="AC5" i="40" s="1"/>
  <c r="W2" i="41"/>
  <c r="X2" i="42"/>
  <c r="AA2" i="42" s="1"/>
  <c r="AC2" i="42" s="1"/>
  <c r="X4" i="42"/>
  <c r="AA4" i="42" s="1"/>
  <c r="AC4" i="42" s="1"/>
  <c r="X2" i="46"/>
  <c r="W4" i="50"/>
  <c r="W5" i="51"/>
  <c r="W6" i="39"/>
  <c r="K4" i="39"/>
  <c r="S5" i="41"/>
  <c r="Z2" i="48"/>
  <c r="S3" i="51"/>
  <c r="O2" i="52"/>
  <c r="Z2" i="53"/>
  <c r="O3" i="53"/>
  <c r="K3" i="39"/>
  <c r="S2" i="52"/>
  <c r="K2" i="38"/>
  <c r="S2" i="42"/>
  <c r="K6" i="50"/>
  <c r="K4" i="50"/>
  <c r="W3" i="52"/>
  <c r="Y2" i="53"/>
  <c r="W2" i="55"/>
  <c r="S5" i="38"/>
  <c r="S2" i="40"/>
  <c r="S3" i="38"/>
  <c r="K5" i="38"/>
  <c r="S6" i="40"/>
  <c r="Z2" i="45"/>
  <c r="X4" i="51"/>
  <c r="AA4" i="51" s="1"/>
  <c r="AC4" i="51" s="1"/>
  <c r="W2" i="38"/>
  <c r="W6" i="40"/>
  <c r="K3" i="41"/>
  <c r="O7" i="41"/>
  <c r="W6" i="41"/>
  <c r="Z2" i="46"/>
  <c r="X2" i="50"/>
  <c r="AA2" i="50" s="1"/>
  <c r="AC2" i="50" s="1"/>
  <c r="O4" i="51"/>
  <c r="Z4" i="53"/>
  <c r="X2" i="53"/>
  <c r="Y2" i="57"/>
  <c r="Z2" i="57"/>
  <c r="K2" i="57"/>
  <c r="X2" i="56"/>
  <c r="K2" i="56"/>
  <c r="Y2" i="56"/>
  <c r="Y2" i="55"/>
  <c r="Y4" i="55"/>
  <c r="X4" i="55"/>
  <c r="X3" i="55"/>
  <c r="Z2" i="55"/>
  <c r="K2" i="55"/>
  <c r="O2" i="55"/>
  <c r="O3" i="55"/>
  <c r="O4" i="55"/>
  <c r="Y3" i="55"/>
  <c r="X2" i="54"/>
  <c r="K2" i="54"/>
  <c r="Y2" i="54"/>
  <c r="W3" i="53"/>
  <c r="W2" i="53"/>
  <c r="K3" i="53"/>
  <c r="X4" i="53"/>
  <c r="K4" i="53"/>
  <c r="Y4" i="53"/>
  <c r="K2" i="52"/>
  <c r="K3" i="52"/>
  <c r="W2" i="52"/>
  <c r="S3" i="52"/>
  <c r="X2" i="52"/>
  <c r="AA2" i="52" s="1"/>
  <c r="AC2" i="52" s="1"/>
  <c r="AD2" i="52" s="1"/>
  <c r="K4" i="51"/>
  <c r="W2" i="51"/>
  <c r="W3" i="51"/>
  <c r="X3" i="51"/>
  <c r="AA3" i="51" s="1"/>
  <c r="AC3" i="51" s="1"/>
  <c r="K2" i="51"/>
  <c r="K3" i="51"/>
  <c r="S4" i="51"/>
  <c r="X5" i="51"/>
  <c r="AA5" i="51" s="1"/>
  <c r="AC5" i="51" s="1"/>
  <c r="O2" i="51"/>
  <c r="O3" i="51"/>
  <c r="S2" i="51"/>
  <c r="O6" i="50"/>
  <c r="O3" i="50"/>
  <c r="W3" i="50"/>
  <c r="W6" i="50"/>
  <c r="S4" i="50"/>
  <c r="X4" i="50"/>
  <c r="AA4" i="50" s="1"/>
  <c r="AC4" i="50" s="1"/>
  <c r="K3" i="50"/>
  <c r="O5" i="50"/>
  <c r="W7" i="50"/>
  <c r="X5" i="50"/>
  <c r="AA5" i="50" s="1"/>
  <c r="AC5" i="50" s="1"/>
  <c r="X3" i="50"/>
  <c r="AA3" i="50" s="1"/>
  <c r="AC3" i="50" s="1"/>
  <c r="S6" i="50"/>
  <c r="O7" i="50"/>
  <c r="W5" i="50"/>
  <c r="S5" i="50"/>
  <c r="K7" i="50"/>
  <c r="X7" i="50"/>
  <c r="AA7" i="50" s="1"/>
  <c r="AC7" i="50" s="1"/>
  <c r="K5" i="50"/>
  <c r="X6" i="50"/>
  <c r="AA6" i="50" s="1"/>
  <c r="AC6" i="50" s="1"/>
  <c r="K2" i="49"/>
  <c r="Z2" i="49"/>
  <c r="Y2" i="49"/>
  <c r="X2" i="48"/>
  <c r="K2" i="48"/>
  <c r="Y2" i="48"/>
  <c r="X2" i="47"/>
  <c r="K2" i="47"/>
  <c r="Y2" i="47"/>
  <c r="W2" i="46"/>
  <c r="Y2" i="46"/>
  <c r="X2" i="45"/>
  <c r="K2" i="45"/>
  <c r="Y2" i="45"/>
  <c r="X2" i="44"/>
  <c r="Y2" i="44"/>
  <c r="Z2" i="44"/>
  <c r="X2" i="43"/>
  <c r="AA2" i="43" s="1"/>
  <c r="AC2" i="43" s="1"/>
  <c r="AD2" i="43" s="1"/>
  <c r="K2" i="43"/>
  <c r="O4" i="42"/>
  <c r="K2" i="42"/>
  <c r="O3" i="42"/>
  <c r="W2" i="42"/>
  <c r="W4" i="42"/>
  <c r="W4" i="41"/>
  <c r="X7" i="41"/>
  <c r="AA7" i="41" s="1"/>
  <c r="AC7" i="41" s="1"/>
  <c r="O2" i="41"/>
  <c r="K7" i="41"/>
  <c r="S2" i="41"/>
  <c r="S4" i="41"/>
  <c r="K5" i="41"/>
  <c r="O3" i="41"/>
  <c r="X6" i="41"/>
  <c r="AA6" i="41" s="1"/>
  <c r="AC6" i="41" s="1"/>
  <c r="W7" i="41"/>
  <c r="K4" i="41"/>
  <c r="W5" i="41"/>
  <c r="S6" i="41"/>
  <c r="O6" i="41"/>
  <c r="X3" i="41"/>
  <c r="AA3" i="41" s="1"/>
  <c r="AC3" i="41" s="1"/>
  <c r="O5" i="41"/>
  <c r="K2" i="41"/>
  <c r="X5" i="41"/>
  <c r="AA5" i="41" s="1"/>
  <c r="AC5" i="41" s="1"/>
  <c r="K6" i="41"/>
  <c r="O2" i="40"/>
  <c r="W2" i="40"/>
  <c r="S4" i="40"/>
  <c r="O6" i="40"/>
  <c r="X3" i="40"/>
  <c r="AA3" i="40" s="1"/>
  <c r="AC3" i="40" s="1"/>
  <c r="O5" i="40"/>
  <c r="S5" i="40"/>
  <c r="O3" i="40"/>
  <c r="W5" i="40"/>
  <c r="K2" i="40"/>
  <c r="X4" i="40"/>
  <c r="AA4" i="40" s="1"/>
  <c r="AC4" i="40" s="1"/>
  <c r="K5" i="40"/>
  <c r="X6" i="40"/>
  <c r="AA6" i="40" s="1"/>
  <c r="AC6" i="40" s="1"/>
  <c r="X2" i="40"/>
  <c r="AA2" i="40" s="1"/>
  <c r="AC2" i="40" s="1"/>
  <c r="S4" i="39"/>
  <c r="W5" i="39"/>
  <c r="S7" i="39"/>
  <c r="O2" i="39"/>
  <c r="O7" i="39"/>
  <c r="K2" i="39"/>
  <c r="X5" i="39"/>
  <c r="AA5" i="39" s="1"/>
  <c r="AC5" i="39" s="1"/>
  <c r="X6" i="39"/>
  <c r="AA6" i="39" s="1"/>
  <c r="AC6" i="39" s="1"/>
  <c r="K5" i="39"/>
  <c r="K6" i="39"/>
  <c r="S6" i="39"/>
  <c r="W2" i="39"/>
  <c r="S3" i="39"/>
  <c r="W3" i="39"/>
  <c r="X3" i="39"/>
  <c r="AA3" i="39" s="1"/>
  <c r="AC3" i="39" s="1"/>
  <c r="X7" i="39"/>
  <c r="AA7" i="39" s="1"/>
  <c r="AC7" i="39" s="1"/>
  <c r="O3" i="39"/>
  <c r="O4" i="38"/>
  <c r="K6" i="38"/>
  <c r="X4" i="38"/>
  <c r="AA4" i="38" s="1"/>
  <c r="AC4" i="38" s="1"/>
  <c r="O5" i="38"/>
  <c r="X2" i="38"/>
  <c r="AA2" i="38" s="1"/>
  <c r="AC2" i="38" s="1"/>
  <c r="S4" i="38"/>
  <c r="W4" i="38"/>
  <c r="K4" i="38"/>
  <c r="X6" i="38"/>
  <c r="AA6" i="38" s="1"/>
  <c r="AC6" i="38" s="1"/>
  <c r="O3" i="38"/>
  <c r="K3" i="38"/>
  <c r="W3" i="38"/>
  <c r="X3" i="38"/>
  <c r="AA3" i="38" s="1"/>
  <c r="AC3" i="38" s="1"/>
  <c r="AB2" i="36"/>
  <c r="AB2" i="37"/>
  <c r="V2" i="37"/>
  <c r="W2" i="37" s="1"/>
  <c r="R2" i="37"/>
  <c r="S2" i="37" s="1"/>
  <c r="N2" i="37"/>
  <c r="O2" i="37" s="1"/>
  <c r="J2" i="37"/>
  <c r="V2" i="36"/>
  <c r="W2" i="36" s="1"/>
  <c r="R2" i="36"/>
  <c r="S2" i="36" s="1"/>
  <c r="N2" i="36"/>
  <c r="O2" i="36" s="1"/>
  <c r="J2" i="36"/>
  <c r="AB2" i="35"/>
  <c r="V2" i="35"/>
  <c r="W2" i="35" s="1"/>
  <c r="R2" i="35"/>
  <c r="S2" i="35" s="1"/>
  <c r="N2" i="35"/>
  <c r="O2" i="35" s="1"/>
  <c r="J2" i="35"/>
  <c r="AB2" i="34"/>
  <c r="V2" i="34"/>
  <c r="R2" i="34"/>
  <c r="N2" i="34"/>
  <c r="O2" i="34" s="1"/>
  <c r="J2" i="34"/>
  <c r="AB3" i="34"/>
  <c r="V3" i="34"/>
  <c r="W3" i="34" s="1"/>
  <c r="R3" i="34"/>
  <c r="N3" i="34"/>
  <c r="J3" i="34"/>
  <c r="J3" i="33"/>
  <c r="N3" i="33"/>
  <c r="R3" i="33"/>
  <c r="S3" i="33" s="1"/>
  <c r="V3" i="33"/>
  <c r="W3" i="33" s="1"/>
  <c r="AB3" i="33"/>
  <c r="J5" i="33"/>
  <c r="N5" i="33"/>
  <c r="R5" i="33"/>
  <c r="V5" i="33"/>
  <c r="AB5" i="33"/>
  <c r="AB4" i="33"/>
  <c r="V4" i="33"/>
  <c r="R4" i="33"/>
  <c r="N4" i="33"/>
  <c r="J4" i="33"/>
  <c r="K2" i="33" s="1"/>
  <c r="AB2" i="33"/>
  <c r="V2" i="33"/>
  <c r="R2" i="33"/>
  <c r="N2" i="33"/>
  <c r="J2" i="33"/>
  <c r="AB2" i="32"/>
  <c r="V2" i="32"/>
  <c r="R2" i="32"/>
  <c r="N2" i="32"/>
  <c r="J2" i="32"/>
  <c r="AB3" i="32"/>
  <c r="V3" i="32"/>
  <c r="R3" i="32"/>
  <c r="S3" i="32" s="1"/>
  <c r="N3" i="32"/>
  <c r="J3" i="32"/>
  <c r="J10" i="31"/>
  <c r="N10" i="31"/>
  <c r="R10" i="31"/>
  <c r="V10" i="31"/>
  <c r="W10" i="31" s="1"/>
  <c r="AB10" i="31"/>
  <c r="J7" i="31"/>
  <c r="N7" i="31"/>
  <c r="R7" i="31"/>
  <c r="V7" i="31"/>
  <c r="AB7" i="31"/>
  <c r="AB9" i="31"/>
  <c r="V9" i="31"/>
  <c r="R9" i="31"/>
  <c r="N9" i="31"/>
  <c r="J9" i="31"/>
  <c r="AB4" i="31"/>
  <c r="V4" i="31"/>
  <c r="R4" i="31"/>
  <c r="N4" i="31"/>
  <c r="J4" i="31"/>
  <c r="AB11" i="31"/>
  <c r="V11" i="31"/>
  <c r="R11" i="31"/>
  <c r="N11" i="31"/>
  <c r="J11" i="31"/>
  <c r="AB6" i="31"/>
  <c r="V6" i="31"/>
  <c r="R6" i="31"/>
  <c r="N6" i="31"/>
  <c r="J6" i="31"/>
  <c r="AB3" i="31"/>
  <c r="V3" i="31"/>
  <c r="R3" i="31"/>
  <c r="N3" i="31"/>
  <c r="J3" i="31"/>
  <c r="AB5" i="31"/>
  <c r="V5" i="31"/>
  <c r="R5" i="31"/>
  <c r="N5" i="31"/>
  <c r="J5" i="31"/>
  <c r="AB2" i="31"/>
  <c r="V2" i="31"/>
  <c r="R2" i="31"/>
  <c r="N2" i="31"/>
  <c r="J2" i="31"/>
  <c r="AB8" i="31"/>
  <c r="V8" i="31"/>
  <c r="R8" i="31"/>
  <c r="N8" i="31"/>
  <c r="J8" i="31"/>
  <c r="J3" i="30"/>
  <c r="N3" i="30"/>
  <c r="R3" i="30"/>
  <c r="V3" i="30"/>
  <c r="W3" i="30" s="1"/>
  <c r="AB3" i="30"/>
  <c r="J4" i="30"/>
  <c r="N4" i="30"/>
  <c r="R4" i="30"/>
  <c r="V4" i="30"/>
  <c r="AB4" i="30"/>
  <c r="J9" i="30"/>
  <c r="N9" i="30"/>
  <c r="R9" i="30"/>
  <c r="V9" i="30"/>
  <c r="AB9" i="30"/>
  <c r="J7" i="30"/>
  <c r="N7" i="30"/>
  <c r="R7" i="30"/>
  <c r="V7" i="30"/>
  <c r="AB7" i="30"/>
  <c r="J5" i="30"/>
  <c r="N5" i="30"/>
  <c r="R5" i="30"/>
  <c r="V5" i="30"/>
  <c r="AB5" i="30"/>
  <c r="J2" i="30"/>
  <c r="N2" i="30"/>
  <c r="R2" i="30"/>
  <c r="V2" i="30"/>
  <c r="AB2" i="30"/>
  <c r="J8" i="30"/>
  <c r="N8" i="30"/>
  <c r="R8" i="30"/>
  <c r="V8" i="30"/>
  <c r="AB8" i="30"/>
  <c r="AB6" i="30"/>
  <c r="V6" i="30"/>
  <c r="R6" i="30"/>
  <c r="N6" i="30"/>
  <c r="J6" i="30"/>
  <c r="AB2" i="29"/>
  <c r="V2" i="29"/>
  <c r="W2" i="29" s="1"/>
  <c r="R2" i="29"/>
  <c r="S2" i="29" s="1"/>
  <c r="N2" i="29"/>
  <c r="J2" i="29"/>
  <c r="AB2" i="27"/>
  <c r="V2" i="27"/>
  <c r="R2" i="27"/>
  <c r="N2" i="27"/>
  <c r="J2" i="27"/>
  <c r="AB3" i="27"/>
  <c r="V3" i="27"/>
  <c r="W3" i="27" s="1"/>
  <c r="R3" i="27"/>
  <c r="S3" i="27" s="1"/>
  <c r="N3" i="27"/>
  <c r="J3" i="27"/>
  <c r="J4" i="26"/>
  <c r="N4" i="26"/>
  <c r="R4" i="26"/>
  <c r="V4" i="26"/>
  <c r="AB4" i="26"/>
  <c r="J2" i="26"/>
  <c r="N2" i="26"/>
  <c r="R2" i="26"/>
  <c r="V2" i="26"/>
  <c r="AB2" i="26"/>
  <c r="J6" i="26"/>
  <c r="N6" i="26"/>
  <c r="R6" i="26"/>
  <c r="V6" i="26"/>
  <c r="AB6" i="26"/>
  <c r="J8" i="26"/>
  <c r="N8" i="26"/>
  <c r="R8" i="26"/>
  <c r="V8" i="26"/>
  <c r="AB8" i="26"/>
  <c r="J7" i="26"/>
  <c r="N7" i="26"/>
  <c r="R7" i="26"/>
  <c r="V7" i="26"/>
  <c r="AB7" i="26"/>
  <c r="AB3" i="26"/>
  <c r="V3" i="26"/>
  <c r="R3" i="26"/>
  <c r="N3" i="26"/>
  <c r="J3" i="26"/>
  <c r="AB5" i="26"/>
  <c r="V5" i="26"/>
  <c r="R5" i="26"/>
  <c r="N5" i="26"/>
  <c r="J5" i="26"/>
  <c r="J2" i="25"/>
  <c r="K2" i="25" s="1"/>
  <c r="N2" i="25"/>
  <c r="O2" i="25" s="1"/>
  <c r="R2" i="25"/>
  <c r="S2" i="25" s="1"/>
  <c r="V2" i="25"/>
  <c r="W2" i="25" s="1"/>
  <c r="AB2" i="25"/>
  <c r="AB3" i="25"/>
  <c r="V3" i="25"/>
  <c r="R3" i="25"/>
  <c r="N3" i="25"/>
  <c r="J3" i="25"/>
  <c r="AB2" i="24"/>
  <c r="V2" i="24"/>
  <c r="W2" i="24" s="1"/>
  <c r="R2" i="24"/>
  <c r="S2" i="24" s="1"/>
  <c r="N2" i="24"/>
  <c r="O2" i="24" s="1"/>
  <c r="J2" i="24"/>
  <c r="K2" i="24" s="1"/>
  <c r="AB2" i="23"/>
  <c r="V2" i="23"/>
  <c r="W2" i="23" s="1"/>
  <c r="R2" i="23"/>
  <c r="S2" i="23" s="1"/>
  <c r="N2" i="23"/>
  <c r="O2" i="23" s="1"/>
  <c r="J2" i="23"/>
  <c r="K2" i="23" s="1"/>
  <c r="AB2" i="22"/>
  <c r="V2" i="22"/>
  <c r="W2" i="22" s="1"/>
  <c r="R2" i="22"/>
  <c r="N2" i="22"/>
  <c r="O2" i="22" s="1"/>
  <c r="J2" i="22"/>
  <c r="K2" i="22" s="1"/>
  <c r="J2" i="21"/>
  <c r="N2" i="21"/>
  <c r="O2" i="21" s="1"/>
  <c r="R2" i="21"/>
  <c r="V2" i="21"/>
  <c r="AB2" i="21"/>
  <c r="AB3" i="21"/>
  <c r="V3" i="21"/>
  <c r="W3" i="21" s="1"/>
  <c r="R3" i="21"/>
  <c r="N3" i="21"/>
  <c r="J3" i="21"/>
  <c r="AB2" i="20"/>
  <c r="V2" i="20"/>
  <c r="W2" i="20" s="1"/>
  <c r="R2" i="20"/>
  <c r="S2" i="20" s="1"/>
  <c r="N2" i="20"/>
  <c r="O2" i="20" s="1"/>
  <c r="J2" i="20"/>
  <c r="J3" i="19"/>
  <c r="N3" i="19"/>
  <c r="O3" i="19" s="1"/>
  <c r="R3" i="19"/>
  <c r="V3" i="19"/>
  <c r="AB3" i="19"/>
  <c r="AB2" i="19"/>
  <c r="V2" i="19"/>
  <c r="R2" i="19"/>
  <c r="N2" i="19"/>
  <c r="J2" i="19"/>
  <c r="AB4" i="19"/>
  <c r="V4" i="19"/>
  <c r="R4" i="19"/>
  <c r="S4" i="19" s="1"/>
  <c r="N4" i="19"/>
  <c r="O4" i="19" s="1"/>
  <c r="J4" i="19"/>
  <c r="AB2" i="18"/>
  <c r="V2" i="18"/>
  <c r="R2" i="18"/>
  <c r="N2" i="18"/>
  <c r="AB3" i="18"/>
  <c r="V3" i="18"/>
  <c r="W3" i="18" s="1"/>
  <c r="R3" i="18"/>
  <c r="S3" i="18" s="1"/>
  <c r="N3" i="18"/>
  <c r="O3" i="18" s="1"/>
  <c r="J2" i="17"/>
  <c r="K2" i="17" s="1"/>
  <c r="J4" i="17"/>
  <c r="N2" i="17"/>
  <c r="O2" i="17" s="1"/>
  <c r="N4" i="17"/>
  <c r="R2" i="17"/>
  <c r="R4" i="17"/>
  <c r="V2" i="17"/>
  <c r="V4" i="17"/>
  <c r="AB2" i="17"/>
  <c r="AB4" i="17"/>
  <c r="AB3" i="17"/>
  <c r="V3" i="17"/>
  <c r="R3" i="17"/>
  <c r="N3" i="17"/>
  <c r="J3" i="17"/>
  <c r="AB2" i="16"/>
  <c r="V2" i="16"/>
  <c r="W2" i="16" s="1"/>
  <c r="R2" i="16"/>
  <c r="S2" i="16" s="1"/>
  <c r="N2" i="16"/>
  <c r="O2" i="16" s="1"/>
  <c r="J2" i="16"/>
  <c r="AB2" i="15"/>
  <c r="V2" i="15"/>
  <c r="W2" i="15" s="1"/>
  <c r="R2" i="15"/>
  <c r="S2" i="15" s="1"/>
  <c r="N2" i="15"/>
  <c r="O2" i="15" s="1"/>
  <c r="J2" i="15"/>
  <c r="AB2" i="14"/>
  <c r="V2" i="14"/>
  <c r="W2" i="14" s="1"/>
  <c r="R2" i="14"/>
  <c r="N2" i="14"/>
  <c r="O2" i="14" s="1"/>
  <c r="J2" i="14"/>
  <c r="K2" i="14" s="1"/>
  <c r="J2" i="10"/>
  <c r="N2" i="10"/>
  <c r="R2" i="10"/>
  <c r="V2" i="10"/>
  <c r="AB2" i="10"/>
  <c r="V3" i="10"/>
  <c r="W3" i="10" s="1"/>
  <c r="R3" i="10"/>
  <c r="N3" i="10"/>
  <c r="O3" i="10" s="1"/>
  <c r="J3" i="10"/>
  <c r="K3" i="10" s="1"/>
  <c r="AA2" i="57" l="1"/>
  <c r="AC2" i="57" s="1"/>
  <c r="AD2" i="57" s="1"/>
  <c r="AA2" i="53"/>
  <c r="AC2" i="53" s="1"/>
  <c r="AD3" i="51"/>
  <c r="AA2" i="47"/>
  <c r="AC2" i="47" s="1"/>
  <c r="AD2" i="47" s="1"/>
  <c r="AA2" i="46"/>
  <c r="AC2" i="46" s="1"/>
  <c r="AD2" i="46" s="1"/>
  <c r="AA2" i="45"/>
  <c r="AC2" i="45" s="1"/>
  <c r="AD2" i="45" s="1"/>
  <c r="AD4" i="42"/>
  <c r="AD2" i="38"/>
  <c r="S2" i="34"/>
  <c r="X10" i="31"/>
  <c r="AA10" i="31" s="1"/>
  <c r="AC10" i="31" s="1"/>
  <c r="S3" i="17"/>
  <c r="W2" i="17"/>
  <c r="Z2" i="16"/>
  <c r="K4" i="19"/>
  <c r="X4" i="19"/>
  <c r="Y3" i="19"/>
  <c r="AA2" i="55"/>
  <c r="AC2" i="55" s="1"/>
  <c r="AA4" i="55"/>
  <c r="AC4" i="55" s="1"/>
  <c r="AD6" i="41"/>
  <c r="X3" i="27"/>
  <c r="Y2" i="22"/>
  <c r="Z3" i="18"/>
  <c r="W4" i="19"/>
  <c r="S2" i="19"/>
  <c r="W3" i="25"/>
  <c r="Y2" i="15"/>
  <c r="O3" i="17"/>
  <c r="O4" i="17"/>
  <c r="W2" i="18"/>
  <c r="Z2" i="22"/>
  <c r="S3" i="26"/>
  <c r="W4" i="26"/>
  <c r="S5" i="33"/>
  <c r="X2" i="36"/>
  <c r="AD5" i="41"/>
  <c r="O7" i="31"/>
  <c r="K4" i="17"/>
  <c r="K3" i="19"/>
  <c r="W3" i="19"/>
  <c r="O3" i="21"/>
  <c r="W6" i="26"/>
  <c r="O4" i="26"/>
  <c r="X3" i="30"/>
  <c r="X7" i="31"/>
  <c r="AA7" i="31" s="1"/>
  <c r="AC7" i="31" s="1"/>
  <c r="AD5" i="38"/>
  <c r="AD4" i="39"/>
  <c r="K3" i="30"/>
  <c r="O2" i="32"/>
  <c r="X3" i="33"/>
  <c r="AA3" i="33" s="1"/>
  <c r="AC3" i="33" s="1"/>
  <c r="W2" i="34"/>
  <c r="AD3" i="39"/>
  <c r="K5" i="31"/>
  <c r="W4" i="33"/>
  <c r="W8" i="30"/>
  <c r="S10" i="31"/>
  <c r="W2" i="32"/>
  <c r="Y2" i="17"/>
  <c r="W4" i="17"/>
  <c r="Y2" i="20"/>
  <c r="X2" i="21"/>
  <c r="O3" i="25"/>
  <c r="S2" i="26"/>
  <c r="X2" i="29"/>
  <c r="AA2" i="29" s="1"/>
  <c r="AC2" i="29" s="1"/>
  <c r="S3" i="30"/>
  <c r="W4" i="30"/>
  <c r="S7" i="31"/>
  <c r="O10" i="31"/>
  <c r="AA2" i="49"/>
  <c r="AC2" i="49" s="1"/>
  <c r="AD2" i="49" s="1"/>
  <c r="AA3" i="55"/>
  <c r="AC3" i="55" s="1"/>
  <c r="W2" i="21"/>
  <c r="O2" i="19"/>
  <c r="S3" i="25"/>
  <c r="W8" i="26"/>
  <c r="K2" i="27"/>
  <c r="O9" i="30"/>
  <c r="W8" i="31"/>
  <c r="K10" i="31"/>
  <c r="W5" i="33"/>
  <c r="O3" i="34"/>
  <c r="AD2" i="39"/>
  <c r="AD5" i="40"/>
  <c r="AD3" i="42"/>
  <c r="W2" i="10"/>
  <c r="O2" i="18"/>
  <c r="K2" i="26"/>
  <c r="S2" i="18"/>
  <c r="W7" i="31"/>
  <c r="O2" i="33"/>
  <c r="AD2" i="50"/>
  <c r="X4" i="26"/>
  <c r="AA4" i="26" s="1"/>
  <c r="AC4" i="26" s="1"/>
  <c r="AA2" i="56"/>
  <c r="AC2" i="56" s="1"/>
  <c r="AD2" i="56" s="1"/>
  <c r="AA2" i="54"/>
  <c r="AC2" i="54" s="1"/>
  <c r="AD2" i="54" s="1"/>
  <c r="AA4" i="53"/>
  <c r="AC4" i="53" s="1"/>
  <c r="AD5" i="51"/>
  <c r="AD4" i="51"/>
  <c r="AD2" i="51"/>
  <c r="AD4" i="50"/>
  <c r="AD3" i="50"/>
  <c r="AD5" i="50"/>
  <c r="AD6" i="50"/>
  <c r="AD7" i="50"/>
  <c r="AA2" i="48"/>
  <c r="AC2" i="48" s="1"/>
  <c r="AD2" i="48" s="1"/>
  <c r="AA2" i="44"/>
  <c r="AC2" i="44" s="1"/>
  <c r="AD2" i="44" s="1"/>
  <c r="AD2" i="42"/>
  <c r="AD7" i="41"/>
  <c r="AD3" i="41"/>
  <c r="AD2" i="41"/>
  <c r="AD4" i="41"/>
  <c r="AD6" i="40"/>
  <c r="AD2" i="40"/>
  <c r="AD4" i="40"/>
  <c r="AD3" i="40"/>
  <c r="AD7" i="39"/>
  <c r="AD6" i="39"/>
  <c r="AD5" i="39"/>
  <c r="AD6" i="38"/>
  <c r="AD4" i="38"/>
  <c r="AD3" i="38"/>
  <c r="X2" i="37"/>
  <c r="AA2" i="37" s="1"/>
  <c r="K2" i="37"/>
  <c r="K2" i="36"/>
  <c r="K2" i="35"/>
  <c r="X2" i="35"/>
  <c r="AA2" i="35" s="1"/>
  <c r="AC2" i="35" s="1"/>
  <c r="K2" i="34"/>
  <c r="K3" i="34"/>
  <c r="S3" i="34"/>
  <c r="X2" i="34"/>
  <c r="AA2" i="34" s="1"/>
  <c r="X3" i="34"/>
  <c r="AA3" i="34" s="1"/>
  <c r="O3" i="33"/>
  <c r="K3" i="33"/>
  <c r="O5" i="33"/>
  <c r="K5" i="33"/>
  <c r="X5" i="33"/>
  <c r="S2" i="33"/>
  <c r="O4" i="33"/>
  <c r="S4" i="33"/>
  <c r="W2" i="33"/>
  <c r="X4" i="33"/>
  <c r="X2" i="33"/>
  <c r="AA2" i="33" s="1"/>
  <c r="K4" i="33"/>
  <c r="W3" i="32"/>
  <c r="X2" i="32"/>
  <c r="AA2" i="32" s="1"/>
  <c r="K2" i="32"/>
  <c r="K3" i="32"/>
  <c r="X3" i="32"/>
  <c r="AA3" i="32" s="1"/>
  <c r="O3" i="32"/>
  <c r="S2" i="32"/>
  <c r="W2" i="31"/>
  <c r="W3" i="31"/>
  <c r="O11" i="31"/>
  <c r="S11" i="31"/>
  <c r="S5" i="31"/>
  <c r="W11" i="31"/>
  <c r="K2" i="31"/>
  <c r="K7" i="31"/>
  <c r="O4" i="31"/>
  <c r="W9" i="31"/>
  <c r="S4" i="31"/>
  <c r="O9" i="31"/>
  <c r="S9" i="31"/>
  <c r="X5" i="31"/>
  <c r="AA5" i="31" s="1"/>
  <c r="O3" i="31"/>
  <c r="X2" i="31"/>
  <c r="AA2" i="31" s="1"/>
  <c r="O6" i="31"/>
  <c r="S3" i="31"/>
  <c r="X8" i="31"/>
  <c r="AA8" i="31" s="1"/>
  <c r="K8" i="31"/>
  <c r="O5" i="31"/>
  <c r="S6" i="31"/>
  <c r="W4" i="31"/>
  <c r="X9" i="31"/>
  <c r="AA9" i="31" s="1"/>
  <c r="O2" i="31"/>
  <c r="X4" i="31"/>
  <c r="AA4" i="31" s="1"/>
  <c r="K9" i="31"/>
  <c r="O8" i="31"/>
  <c r="W6" i="31"/>
  <c r="X11" i="31"/>
  <c r="AA11" i="31" s="1"/>
  <c r="K4" i="31"/>
  <c r="S2" i="31"/>
  <c r="X6" i="31"/>
  <c r="AA6" i="31" s="1"/>
  <c r="K11" i="31"/>
  <c r="S8" i="31"/>
  <c r="W5" i="31"/>
  <c r="X3" i="31"/>
  <c r="K6" i="31"/>
  <c r="K3" i="31"/>
  <c r="O3" i="30"/>
  <c r="K7" i="30"/>
  <c r="X4" i="30"/>
  <c r="S6" i="30"/>
  <c r="W7" i="30"/>
  <c r="X7" i="30"/>
  <c r="AA7" i="30" s="1"/>
  <c r="AC7" i="30" s="1"/>
  <c r="S4" i="30"/>
  <c r="W9" i="30"/>
  <c r="O4" i="30"/>
  <c r="X9" i="30"/>
  <c r="AA9" i="30" s="1"/>
  <c r="AC9" i="30" s="1"/>
  <c r="K4" i="30"/>
  <c r="S9" i="30"/>
  <c r="O6" i="30"/>
  <c r="K9" i="30"/>
  <c r="K5" i="30"/>
  <c r="O2" i="30"/>
  <c r="S7" i="30"/>
  <c r="S5" i="30"/>
  <c r="X5" i="30"/>
  <c r="AA5" i="30" s="1"/>
  <c r="AC5" i="30" s="1"/>
  <c r="O7" i="30"/>
  <c r="W5" i="30"/>
  <c r="W2" i="30"/>
  <c r="O5" i="30"/>
  <c r="K2" i="30"/>
  <c r="X2" i="30"/>
  <c r="K8" i="30"/>
  <c r="S2" i="30"/>
  <c r="O8" i="30"/>
  <c r="X8" i="30"/>
  <c r="S8" i="30"/>
  <c r="W6" i="30"/>
  <c r="X6" i="30"/>
  <c r="K6" i="30"/>
  <c r="K2" i="29"/>
  <c r="K4" i="26"/>
  <c r="X2" i="23"/>
  <c r="K2" i="21"/>
  <c r="S3" i="21"/>
  <c r="S3" i="19"/>
  <c r="X3" i="19"/>
  <c r="W2" i="19"/>
  <c r="K2" i="18"/>
  <c r="S4" i="17"/>
  <c r="W3" i="17"/>
  <c r="Y3" i="17"/>
  <c r="X3" i="17"/>
  <c r="Z2" i="17"/>
  <c r="X2" i="17"/>
  <c r="X2" i="27"/>
  <c r="O2" i="29"/>
  <c r="O2" i="27"/>
  <c r="K3" i="27"/>
  <c r="O3" i="27"/>
  <c r="S2" i="27"/>
  <c r="W2" i="27"/>
  <c r="X6" i="26"/>
  <c r="S4" i="26"/>
  <c r="W7" i="26"/>
  <c r="X2" i="26"/>
  <c r="W2" i="26"/>
  <c r="O2" i="26"/>
  <c r="O6" i="26"/>
  <c r="K7" i="26"/>
  <c r="X8" i="26"/>
  <c r="W3" i="26"/>
  <c r="S6" i="26"/>
  <c r="K8" i="26"/>
  <c r="S7" i="26"/>
  <c r="K6" i="26"/>
  <c r="O8" i="26"/>
  <c r="O5" i="26"/>
  <c r="S8" i="26"/>
  <c r="W5" i="26"/>
  <c r="O7" i="26"/>
  <c r="X3" i="26"/>
  <c r="X7" i="26"/>
  <c r="K3" i="26"/>
  <c r="O3" i="26"/>
  <c r="S5" i="26"/>
  <c r="X5" i="26"/>
  <c r="K5" i="26"/>
  <c r="X2" i="25"/>
  <c r="X3" i="25"/>
  <c r="K3" i="25"/>
  <c r="X2" i="24"/>
  <c r="Y2" i="24"/>
  <c r="Z2" i="24"/>
  <c r="Y2" i="23"/>
  <c r="Z2" i="23"/>
  <c r="S2" i="22"/>
  <c r="X2" i="22"/>
  <c r="Y3" i="21"/>
  <c r="S2" i="21"/>
  <c r="Z2" i="21"/>
  <c r="Y2" i="21"/>
  <c r="Z3" i="21"/>
  <c r="X3" i="21"/>
  <c r="K3" i="21"/>
  <c r="X2" i="20"/>
  <c r="K2" i="20"/>
  <c r="Z2" i="20"/>
  <c r="Z4" i="19"/>
  <c r="Z2" i="19"/>
  <c r="Z3" i="19"/>
  <c r="X2" i="19"/>
  <c r="K2" i="19"/>
  <c r="Y2" i="19"/>
  <c r="Y4" i="19"/>
  <c r="X2" i="18"/>
  <c r="Y2" i="18"/>
  <c r="K3" i="18"/>
  <c r="Y3" i="18"/>
  <c r="Z2" i="18"/>
  <c r="X3" i="18"/>
  <c r="S2" i="17"/>
  <c r="Y4" i="17"/>
  <c r="X4" i="17"/>
  <c r="Z4" i="17"/>
  <c r="K3" i="17"/>
  <c r="Z3" i="17"/>
  <c r="K2" i="16"/>
  <c r="Y2" i="16"/>
  <c r="X2" i="16"/>
  <c r="X2" i="15"/>
  <c r="K2" i="15"/>
  <c r="Z2" i="15"/>
  <c r="S2" i="10"/>
  <c r="Y2" i="10"/>
  <c r="O2" i="10"/>
  <c r="X3" i="10"/>
  <c r="X2" i="14"/>
  <c r="Y2" i="14"/>
  <c r="Z2" i="14"/>
  <c r="S2" i="14"/>
  <c r="X2" i="10"/>
  <c r="Y3" i="10"/>
  <c r="K2" i="10"/>
  <c r="S3" i="10"/>
  <c r="Z2" i="10"/>
  <c r="Z3" i="10"/>
  <c r="AD4" i="55" l="1"/>
  <c r="AD2" i="55"/>
  <c r="AD3" i="55"/>
  <c r="AA2" i="23"/>
  <c r="AC2" i="23" s="1"/>
  <c r="AD2" i="23" s="1"/>
  <c r="AA2" i="22"/>
  <c r="AC2" i="22" s="1"/>
  <c r="AD2" i="22" s="1"/>
  <c r="AA3" i="19"/>
  <c r="AC3" i="19" s="1"/>
  <c r="AD3" i="19" s="1"/>
  <c r="AA2" i="17"/>
  <c r="AC2" i="17" s="1"/>
  <c r="AA2" i="16"/>
  <c r="AC2" i="16" s="1"/>
  <c r="AD2" i="16" s="1"/>
  <c r="AA4" i="33"/>
  <c r="AC4" i="33" s="1"/>
  <c r="AA5" i="33"/>
  <c r="AC5" i="33" s="1"/>
  <c r="AD5" i="33" s="1"/>
  <c r="AA3" i="31"/>
  <c r="AC3" i="31" s="1"/>
  <c r="AD3" i="31" s="1"/>
  <c r="AA2" i="24"/>
  <c r="AC2" i="24" s="1"/>
  <c r="AD2" i="24" s="1"/>
  <c r="AA2" i="21"/>
  <c r="AC2" i="21" s="1"/>
  <c r="AD2" i="21" s="1"/>
  <c r="AA2" i="36"/>
  <c r="AC2" i="36" s="1"/>
  <c r="AD2" i="36" s="1"/>
  <c r="AD4" i="53"/>
  <c r="AD3" i="53"/>
  <c r="AD2" i="53"/>
  <c r="AC2" i="37"/>
  <c r="AD2" i="37" s="1"/>
  <c r="AD2" i="35"/>
  <c r="AC3" i="34"/>
  <c r="AD3" i="34" s="1"/>
  <c r="AC2" i="34"/>
  <c r="AD2" i="34" s="1"/>
  <c r="AC2" i="33"/>
  <c r="AC3" i="32"/>
  <c r="AC2" i="32"/>
  <c r="AC4" i="31"/>
  <c r="AC2" i="31"/>
  <c r="AC6" i="31"/>
  <c r="AC5" i="31"/>
  <c r="AC8" i="31"/>
  <c r="AC11" i="31"/>
  <c r="AC9" i="31"/>
  <c r="AA4" i="30"/>
  <c r="AC4" i="30" s="1"/>
  <c r="AA3" i="30"/>
  <c r="AC3" i="30" s="1"/>
  <c r="AD3" i="30" s="1"/>
  <c r="AA2" i="30"/>
  <c r="AC2" i="30" s="1"/>
  <c r="AA8" i="30"/>
  <c r="AC8" i="30" s="1"/>
  <c r="AA6" i="30"/>
  <c r="AC6" i="30" s="1"/>
  <c r="AA3" i="27"/>
  <c r="AC3" i="27" s="1"/>
  <c r="AA2" i="26"/>
  <c r="AC2" i="26" s="1"/>
  <c r="AA3" i="25"/>
  <c r="AC3" i="25" s="1"/>
  <c r="AA3" i="17"/>
  <c r="AC3" i="17" s="1"/>
  <c r="AA2" i="27"/>
  <c r="AC2" i="27" s="1"/>
  <c r="AD2" i="27" s="1"/>
  <c r="AD2" i="29"/>
  <c r="AA6" i="26"/>
  <c r="AC6" i="26" s="1"/>
  <c r="AA8" i="26"/>
  <c r="AC8" i="26" s="1"/>
  <c r="AA7" i="26"/>
  <c r="AC7" i="26" s="1"/>
  <c r="AA3" i="26"/>
  <c r="AC3" i="26" s="1"/>
  <c r="AA5" i="26"/>
  <c r="AC5" i="26" s="1"/>
  <c r="AD4" i="26" s="1"/>
  <c r="AA2" i="25"/>
  <c r="AC2" i="25" s="1"/>
  <c r="AD2" i="25" s="1"/>
  <c r="AA3" i="21"/>
  <c r="AC3" i="21" s="1"/>
  <c r="AD3" i="21" s="1"/>
  <c r="AA2" i="20"/>
  <c r="AC2" i="20" s="1"/>
  <c r="AD2" i="20" s="1"/>
  <c r="AA2" i="19"/>
  <c r="AC2" i="19" s="1"/>
  <c r="AD2" i="19" s="1"/>
  <c r="AA4" i="19"/>
  <c r="AC4" i="19" s="1"/>
  <c r="AA3" i="18"/>
  <c r="AC3" i="18" s="1"/>
  <c r="AD3" i="18" s="1"/>
  <c r="AA2" i="18"/>
  <c r="AC2" i="18" s="1"/>
  <c r="AD2" i="18" s="1"/>
  <c r="AA4" i="17"/>
  <c r="AC4" i="17" s="1"/>
  <c r="AA2" i="15"/>
  <c r="AC2" i="15" s="1"/>
  <c r="AD2" i="15" s="1"/>
  <c r="AA2" i="10"/>
  <c r="AC2" i="10" s="1"/>
  <c r="AA2" i="14"/>
  <c r="AC2" i="14" s="1"/>
  <c r="AD2" i="14" s="1"/>
  <c r="AD3" i="33" l="1"/>
  <c r="AD4" i="33"/>
  <c r="AD2" i="33"/>
  <c r="AD10" i="31"/>
  <c r="AD3" i="17"/>
  <c r="AD3" i="25"/>
  <c r="AD4" i="19"/>
  <c r="AD6" i="31"/>
  <c r="AD2" i="30"/>
  <c r="AD2" i="26"/>
  <c r="AD7" i="26"/>
  <c r="AD2" i="32"/>
  <c r="AD3" i="32"/>
  <c r="AD7" i="31"/>
  <c r="AD5" i="31"/>
  <c r="AD2" i="31"/>
  <c r="AD11" i="31"/>
  <c r="AD9" i="31"/>
  <c r="AD8" i="31"/>
  <c r="AD4" i="31"/>
  <c r="AD9" i="30"/>
  <c r="AD4" i="30"/>
  <c r="AD5" i="30"/>
  <c r="AD8" i="30"/>
  <c r="AD6" i="30"/>
  <c r="AD7" i="30"/>
  <c r="AD3" i="27"/>
  <c r="AD8" i="26"/>
  <c r="AD6" i="26"/>
  <c r="AD5" i="26"/>
  <c r="AD3" i="26"/>
  <c r="AD2" i="17"/>
  <c r="AD4" i="17"/>
  <c r="AB3" i="10" l="1"/>
  <c r="AA3" i="10" l="1"/>
  <c r="AC3" i="10" s="1"/>
  <c r="AD2" i="10" s="1"/>
  <c r="AD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" authorId="0" shapeId="0" xr:uid="{A648491E-2C3E-4DEE-BEB4-FA599900BB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solo costume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" authorId="0" shapeId="0" xr:uid="{3851744A-2520-4CF4-93E3-C3989A9A8C0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solo choreography and artistic impression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" authorId="0" shapeId="0" xr:uid="{75FA49B1-4001-419B-BF92-B6969D6995B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duo/trio choreography and artistic impression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6" authorId="0" shapeId="0" xr:uid="{C2019A34-CC1F-47F2-BC0D-0D7C71E1DEC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duo/trio costume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2" authorId="0" shapeId="0" xr:uid="{11C2D5F4-685D-4969-B035-BDE5F4FFD9E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group costume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2" authorId="0" shapeId="0" xr:uid="{B1E8D8E4-E49A-4117-8C11-8B0FFD2403C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group choreography and artistic impression</t>
        </r>
      </text>
    </comment>
  </commentList>
</comments>
</file>

<file path=xl/sharedStrings.xml><?xml version="1.0" encoding="utf-8"?>
<sst xmlns="http://schemas.openxmlformats.org/spreadsheetml/2006/main" count="2008" uniqueCount="149">
  <si>
    <t>Lane</t>
  </si>
  <si>
    <t>Athlete</t>
  </si>
  <si>
    <t>Club</t>
  </si>
  <si>
    <t>Country</t>
  </si>
  <si>
    <t>Judge 1
Tamara Beljak</t>
  </si>
  <si>
    <t>J1 (-)</t>
  </si>
  <si>
    <t>J1 (Rank)</t>
  </si>
  <si>
    <t>Judge 2
Tihomir Bendelja</t>
  </si>
  <si>
    <t>J2 (-)</t>
  </si>
  <si>
    <t>J2 (Rank)</t>
  </si>
  <si>
    <t>J3 (-)</t>
  </si>
  <si>
    <t>J3 (Rank)</t>
  </si>
  <si>
    <t>J4 (-)</t>
  </si>
  <si>
    <t>J4 (Rank)</t>
  </si>
  <si>
    <t>Avg</t>
  </si>
  <si>
    <t>Total</t>
  </si>
  <si>
    <t>FINAL SCORE</t>
  </si>
  <si>
    <t>Rank</t>
  </si>
  <si>
    <t>Start No.</t>
  </si>
  <si>
    <t>Category</t>
  </si>
  <si>
    <t>Age
Division</t>
  </si>
  <si>
    <t>Judge 3
Lucija Ljubičić</t>
  </si>
  <si>
    <t>Judge 4
Bernard Barač</t>
  </si>
  <si>
    <t>Modern Majorette Group</t>
  </si>
  <si>
    <t>CADET</t>
  </si>
  <si>
    <t>MAŽORETNA IN TWIRLING SKUPINA OBČINE PESNICA</t>
  </si>
  <si>
    <t>Slovenia</t>
  </si>
  <si>
    <t>Group</t>
  </si>
  <si>
    <t>JUNIOR</t>
  </si>
  <si>
    <t>ČAKOVEČKE MAŽORETKINJE</t>
  </si>
  <si>
    <t>Croatia</t>
  </si>
  <si>
    <t>MAŽORETKY MARCELY SYNKOVÉ, Z.S. / ŠANCE - HRANICE</t>
  </si>
  <si>
    <t>Czech Republic</t>
  </si>
  <si>
    <t>SENIOR</t>
  </si>
  <si>
    <t>Traditional Majorette Group</t>
  </si>
  <si>
    <t>MINI</t>
  </si>
  <si>
    <t>CHILDREN</t>
  </si>
  <si>
    <t>UDRUGA MAŽORETKINJA MURSKOG SREDIŠĆA</t>
  </si>
  <si>
    <t>MAŽORETKINJE GRADA VALPOVA</t>
  </si>
  <si>
    <t>Modern Majorette Team</t>
  </si>
  <si>
    <t>TWIRLING KLUB ANINIH MAŽORETK</t>
  </si>
  <si>
    <t>MAŽORETNI IN TWIRLING KLUB RUŠE</t>
  </si>
  <si>
    <t>Pompon Team</t>
  </si>
  <si>
    <t>TWIRLING IN MAŽORETNI KLUB LUCIJA</t>
  </si>
  <si>
    <t>UDRUGA MAŽORETKINJA OPĆINE DOMAŠINEC</t>
  </si>
  <si>
    <t>Pompon Duo/Trio</t>
  </si>
  <si>
    <t>Tena Karabelj - Magdalena Juričić - Patricia Novačić</t>
  </si>
  <si>
    <t>TWIRLING-MAŽORETNI KLUB SVETA NEDELJA</t>
  </si>
  <si>
    <t>Duo</t>
  </si>
  <si>
    <t>Accessories Solo</t>
  </si>
  <si>
    <t>Gita Podgorelec</t>
  </si>
  <si>
    <t>Solo</t>
  </si>
  <si>
    <t>Jolana Páleníková - Tia Hilda Mareček</t>
  </si>
  <si>
    <t>Zala Verbošt</t>
  </si>
  <si>
    <t>Majorette Duo/Trio</t>
  </si>
  <si>
    <t>Neža Soldo - Živa Trobevšek</t>
  </si>
  <si>
    <t>DRUŠTVO KAMNIŠKIH MAŽORETK VERONIKA</t>
  </si>
  <si>
    <t>Ana Marija Dančo</t>
  </si>
  <si>
    <t>Nika Vezovnik - Ana Lorbek</t>
  </si>
  <si>
    <t>Mirna Pavić</t>
  </si>
  <si>
    <t>Monika Cerar - Pika Šala</t>
  </si>
  <si>
    <t>Helena Hajdinjak</t>
  </si>
  <si>
    <t>Majorette Solo</t>
  </si>
  <si>
    <t>Ana Kramberger</t>
  </si>
  <si>
    <t>Iva Bašnec</t>
  </si>
  <si>
    <t>MAŽORETKINJE GORIČAN</t>
  </si>
  <si>
    <t>Izabela Perhoč</t>
  </si>
  <si>
    <t>Tena Gotal</t>
  </si>
  <si>
    <t>Jolana Páleníková</t>
  </si>
  <si>
    <t>Leja Železnik</t>
  </si>
  <si>
    <t>Lina Kop</t>
  </si>
  <si>
    <t>Klementina Pauman</t>
  </si>
  <si>
    <t>Mia Belna</t>
  </si>
  <si>
    <t>MAŽORETNI IN TWIRLING KLUB BENEDIKT</t>
  </si>
  <si>
    <t>Ela Kramberger</t>
  </si>
  <si>
    <t>Tena Škvorc</t>
  </si>
  <si>
    <t>Mia Gluhak</t>
  </si>
  <si>
    <t>MAŽORETNA SKUPINA LIBOJE</t>
  </si>
  <si>
    <t>Sara Radovanovič</t>
  </si>
  <si>
    <t>Viktorie Smitková</t>
  </si>
  <si>
    <t>Tia Hilda Mareček</t>
  </si>
  <si>
    <t>Tiana Marija Nikl</t>
  </si>
  <si>
    <t>Mia Nedeljko</t>
  </si>
  <si>
    <t>Laura Kitek</t>
  </si>
  <si>
    <t>Zala Bedić</t>
  </si>
  <si>
    <t>Zoja Hadner</t>
  </si>
  <si>
    <t>Lana Žabčič</t>
  </si>
  <si>
    <t>Nika Nikita Rokavec</t>
  </si>
  <si>
    <t>Tajda Padovnik</t>
  </si>
  <si>
    <t>Michaela Fojtíková</t>
  </si>
  <si>
    <t>Tjaša Polak</t>
  </si>
  <si>
    <t>Pompon Solo</t>
  </si>
  <si>
    <t>Helena Perhoč</t>
  </si>
  <si>
    <t>Alena Koláčková</t>
  </si>
  <si>
    <t>Natalija Sušnik</t>
  </si>
  <si>
    <t>Lea Čemerika</t>
  </si>
  <si>
    <t>Accessories Duo</t>
  </si>
  <si>
    <t>Anita Bulat - Emily Vuk</t>
  </si>
  <si>
    <t>Klara Černošek - Anđela Vidošić</t>
  </si>
  <si>
    <t>Lena Žižek</t>
  </si>
  <si>
    <t>Tena Gotal - Vita Varga</t>
  </si>
  <si>
    <t>Barbara Frankol</t>
  </si>
  <si>
    <t>KRAPINSKE MAŽORETKINJE</t>
  </si>
  <si>
    <t>Nika Šilc - Maša Šenk</t>
  </si>
  <si>
    <t>DRUŠTVO MAŽORET IN PLESALCEV RIBNICA</t>
  </si>
  <si>
    <t>Tena Bašnec - Vivien Marđetko</t>
  </si>
  <si>
    <t>Eva Varga</t>
  </si>
  <si>
    <t>Lea Bibić - Petra Mrđenović</t>
  </si>
  <si>
    <t>Lana Trstenjak</t>
  </si>
  <si>
    <t>Anja Baksa - Iva Vojvoda</t>
  </si>
  <si>
    <t>Ela Nina Kralj - Lorena Markovič</t>
  </si>
  <si>
    <t>Gita Podgorelec - Rea Lajtman</t>
  </si>
  <si>
    <t>Tiana Marija Nikl - Ana Kramberger</t>
  </si>
  <si>
    <t>Neža Soldo</t>
  </si>
  <si>
    <t>Zala Verbošt - Gabrijela Žmavc</t>
  </si>
  <si>
    <t>Lara Bezjak</t>
  </si>
  <si>
    <t>Maja Bešvir - Eva Tišler</t>
  </si>
  <si>
    <t>Tia Perko</t>
  </si>
  <si>
    <t>Nastja Ocvirk - Laura Krulec</t>
  </si>
  <si>
    <t>Nika Vezovnik</t>
  </si>
  <si>
    <t>Neja Kramberger - Diana Gabrovec</t>
  </si>
  <si>
    <t>Klara Alina Verbošt - Lina Turin Roškar</t>
  </si>
  <si>
    <t>Alena Koláčková - Tia Hilda Mareček</t>
  </si>
  <si>
    <t>Flags</t>
  </si>
  <si>
    <t>OPEN</t>
  </si>
  <si>
    <t>Pompon Group</t>
  </si>
  <si>
    <t>Show Dance</t>
  </si>
  <si>
    <t>Batonflag</t>
  </si>
  <si>
    <t>Ina Ričko - Iva Novoselec</t>
  </si>
  <si>
    <t>Kateřina Helsnerová - Michaela Šebestová</t>
  </si>
  <si>
    <t>Ema Novak - Anamarija Krleža</t>
  </si>
  <si>
    <t>Teja Tertinek - Lana Jakopiček</t>
  </si>
  <si>
    <t>Zarja Rigler - Hana Ruparčič</t>
  </si>
  <si>
    <t>Tjaša Polak - Natalija Sušnik</t>
  </si>
  <si>
    <t>Maša Andoljšek - Tinkara Benčina</t>
  </si>
  <si>
    <t>Alena Koláčková - Sabina Vysloužilová</t>
  </si>
  <si>
    <t>Klara Golubić - Zita Miličević</t>
  </si>
  <si>
    <t>Klara Bilbija</t>
  </si>
  <si>
    <t>Zara Nedeljko - Tara Vidović</t>
  </si>
  <si>
    <t>Nastja Lovšin</t>
  </si>
  <si>
    <t>Team Mix</t>
  </si>
  <si>
    <t>Low</t>
  </si>
  <si>
    <t>High</t>
  </si>
  <si>
    <t>Final Total</t>
  </si>
  <si>
    <t>J2 TOTAL</t>
  </si>
  <si>
    <t>J3 TOTAL</t>
  </si>
  <si>
    <t>J4 TOTAL</t>
  </si>
  <si>
    <t>J1 TOTAL</t>
  </si>
  <si>
    <t>Category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</si>
</sst>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0000"/>
      <name val="Georgia"/>
      <family val="1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 wrapText="1"/>
    </xf>
    <xf numFmtId="0" fontId="4" fillId="0" borderId="0" xfId="0" applyFont="1" applyFill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2" fontId="4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 wrapText="1"/>
    </xf>
    <xf numFmtId="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0" xfId="1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7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2" fontId="4" fillId="2" borderId="0" xfId="0" applyNumberFormat="1" applyFont="1" applyFill="1" applyBorder="1" applyAlignment="1" applyProtection="1">
      <alignment horizontal="center"/>
      <protection hidden="1"/>
    </xf>
    <xf numFmtId="2" fontId="4" fillId="3" borderId="0" xfId="0" applyNumberFormat="1" applyFont="1" applyFill="1" applyBorder="1" applyAlignment="1" applyProtection="1">
      <alignment horizontal="center"/>
      <protection hidden="1"/>
    </xf>
    <xf numFmtId="2" fontId="4" fillId="5" borderId="0" xfId="0" applyNumberFormat="1" applyFont="1" applyFill="1" applyBorder="1" applyAlignment="1" applyProtection="1">
      <alignment horizontal="center"/>
      <protection hidden="1"/>
    </xf>
    <xf numFmtId="1" fontId="4" fillId="6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6" fillId="0" borderId="0" xfId="0" quotePrefix="1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NumberFormat="1" applyFont="1" applyBorder="1" applyProtection="1"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1451"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</dxfs>
  <tableStyles count="0" defaultTableStyle="TableStyleMedium2" defaultPivotStyle="PivotStyleLight16"/>
  <colors>
    <mruColors>
      <color rgb="FFCCCCFF"/>
      <color rgb="FF33CCCC"/>
      <color rgb="FFBF9FFF"/>
      <color rgb="FFE49AF8"/>
      <color rgb="FFFF9999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0000000}" name="Twirling_Solo_Program28910111213141516171819202223" displayName="Twirling_Solo_Program28910111213141516171819202223" ref="A1:AE9" totalsRowShown="0" headerRowDxfId="890" dataDxfId="889">
  <autoFilter ref="A1:AE9" xr:uid="{00000000-0009-0000-0100-000016000000}"/>
  <sortState xmlns:xlrd2="http://schemas.microsoft.com/office/spreadsheetml/2017/richdata2" ref="A2:AE9">
    <sortCondition ref="AD2:AD9"/>
  </sortState>
  <tableColumns count="31">
    <tableColumn id="1" xr3:uid="{00000000-0010-0000-1000-000001000000}" name="Start No." dataDxfId="888"/>
    <tableColumn id="8" xr3:uid="{00000000-0010-0000-1000-000008000000}" name="Lane" dataDxfId="887"/>
    <tableColumn id="9" xr3:uid="{00000000-0010-0000-1000-000009000000}" name="Category" dataDxfId="886"/>
    <tableColumn id="32" xr3:uid="{00000000-0010-0000-1000-000020000000}" name="Age_x000a_Division" dataDxfId="885"/>
    <tableColumn id="4" xr3:uid="{00000000-0010-0000-1000-000004000000}" name="Athlete" dataDxfId="884"/>
    <tableColumn id="38" xr3:uid="{00000000-0010-0000-1000-000026000000}" name="Club" dataDxfId="883"/>
    <tableColumn id="37" xr3:uid="{00000000-0010-0000-1000-000025000000}" name="Country" dataDxfId="882"/>
    <tableColumn id="15" xr3:uid="{00000000-0010-0000-1000-00000F000000}" name="Judge 1_x000a_Tamara Beljak" dataDxfId="881"/>
    <tableColumn id="33" xr3:uid="{00000000-0010-0000-1000-000021000000}" name="J1 (-)" dataDxfId="880"/>
    <tableColumn id="26" xr3:uid="{00000000-0010-0000-1000-00001A000000}" name="J1 TOTAL" dataDxfId="879">
      <calculatedColumnFormula>Twirling_Solo_Program28910111213141516171819202223[[#This Row],[Judge 1
Tamara Beljak]]-I2</calculatedColumnFormula>
    </tableColumn>
    <tableColumn id="3" xr3:uid="{00000000-0010-0000-1000-000003000000}" name="J1 (Rank)" dataDxfId="878">
      <calculatedColumnFormula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calculatedColumnFormula>
    </tableColumn>
    <tableColumn id="16" xr3:uid="{00000000-0010-0000-1000-000010000000}" name="Judge 2_x000a_Tihomir Bendelja" dataDxfId="877"/>
    <tableColumn id="34" xr3:uid="{00000000-0010-0000-1000-000022000000}" name="J2 (-)" dataDxfId="876"/>
    <tableColumn id="28" xr3:uid="{00000000-0010-0000-1000-00001C000000}" name="J2 TOTAL" dataDxfId="875">
      <calculatedColumnFormula>Twirling_Solo_Program28910111213141516171819202223[[#This Row],[Judge 2
Tihomir Bendelja]]-Twirling_Solo_Program28910111213141516171819202223[[#This Row],[J2 (-)]]</calculatedColumnFormula>
    </tableColumn>
    <tableColumn id="5" xr3:uid="{00000000-0010-0000-1000-000005000000}" name="J2 (Rank)" dataDxfId="874">
      <calculatedColumnFormula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calculatedColumnFormula>
    </tableColumn>
    <tableColumn id="17" xr3:uid="{00000000-0010-0000-1000-000011000000}" name="Judge 3_x000a_Lucija Ljubičić" dataDxfId="873"/>
    <tableColumn id="35" xr3:uid="{00000000-0010-0000-1000-000023000000}" name="J3 (-)" dataDxfId="872"/>
    <tableColumn id="30" xr3:uid="{00000000-0010-0000-1000-00001E000000}" name="J3 TOTAL" dataDxfId="871">
      <calculatedColumnFormula>Twirling_Solo_Program28910111213141516171819202223[[#This Row],[Judge 3
Lucija Ljubičić]]-Q2</calculatedColumnFormula>
    </tableColumn>
    <tableColumn id="6" xr3:uid="{00000000-0010-0000-1000-000006000000}" name="J3 (Rank)" dataDxfId="870">
      <calculatedColumnFormula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calculatedColumnFormula>
    </tableColumn>
    <tableColumn id="18" xr3:uid="{00000000-0010-0000-1000-000012000000}" name="Judge 4_x000a_Bernard Barač" dataDxfId="869"/>
    <tableColumn id="36" xr3:uid="{00000000-0010-0000-1000-000024000000}" name="J4 (-)" dataDxfId="868"/>
    <tableColumn id="31" xr3:uid="{00000000-0010-0000-1000-00001F000000}" name="J4 TOTAL" dataDxfId="867">
      <calculatedColumnFormula>Twirling_Solo_Program28910111213141516171819202223[[#This Row],[Judge 4
Bernard Barač]]-U2</calculatedColumnFormula>
    </tableColumn>
    <tableColumn id="7" xr3:uid="{00000000-0010-0000-1000-000007000000}" name="J4 (Rank)" dataDxfId="866">
      <calculatedColumnFormula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calculatedColumnFormula>
    </tableColumn>
    <tableColumn id="20" xr3:uid="{00000000-0010-0000-1000-000014000000}" name="Total" dataDxfId="865">
      <calculatedColumnFormula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calculatedColumnFormula>
    </tableColumn>
    <tableColumn id="23" xr3:uid="{00000000-0010-0000-1000-000017000000}" name="Low" dataDxfId="864"/>
    <tableColumn id="19" xr3:uid="{00000000-0010-0000-1000-000013000000}" name="High" dataDxfId="863"/>
    <tableColumn id="25" xr3:uid="{00000000-0010-0000-1000-000019000000}" name="Final Total" dataDxfId="862">
      <calculatedColumnFormula>SUM(Twirling_Solo_Program28910111213141516171819202223[[#This Row],[Total]]-Twirling_Solo_Program28910111213141516171819202223[[#This Row],[Low]]-Twirling_Solo_Program28910111213141516171819202223[[#This Row],[High]])</calculatedColumnFormula>
    </tableColumn>
    <tableColumn id="24" xr3:uid="{00000000-0010-0000-1000-000018000000}" name="Avg" dataDxfId="861">
      <calculatedColumnFormula>AVERAGE(H2,L2,P2,T2)</calculatedColumnFormula>
    </tableColumn>
    <tableColumn id="22" xr3:uid="{00000000-0010-0000-1000-000016000000}" name="FINAL SCORE" dataDxfId="860">
      <calculatedColumnFormula>Twirling_Solo_Program28910111213141516171819202223[[#This Row],[Final Total]]</calculatedColumnFormula>
    </tableColumn>
    <tableColumn id="27" xr3:uid="{00000000-0010-0000-1000-00001B000000}" name="Rank" dataDxfId="859">
      <calculatedColumnFormula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calculatedColumnFormula>
    </tableColumn>
    <tableColumn id="39" xr3:uid="{00000000-0010-0000-1000-000027000000}" name="Category Type" dataDxfId="8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4000000}" name="Twirling_Solo_Program2891011121314151617181920222324252627" displayName="Twirling_Solo_Program2891011121314151617181920222324252627" ref="A1:AE3" totalsRowShown="0" headerRowDxfId="727" dataDxfId="726">
  <autoFilter ref="A1:AE3" xr:uid="{00000000-0009-0000-0100-00001A000000}"/>
  <sortState xmlns:xlrd2="http://schemas.microsoft.com/office/spreadsheetml/2017/richdata2" ref="A2:AE3">
    <sortCondition ref="AD2:AD3"/>
  </sortState>
  <tableColumns count="31">
    <tableColumn id="1" xr3:uid="{00000000-0010-0000-1400-000001000000}" name="Start No." dataDxfId="758"/>
    <tableColumn id="8" xr3:uid="{00000000-0010-0000-1400-000008000000}" name="Lane" dataDxfId="757"/>
    <tableColumn id="9" xr3:uid="{00000000-0010-0000-1400-000009000000}" name="Category" dataDxfId="756"/>
    <tableColumn id="32" xr3:uid="{00000000-0010-0000-1400-000020000000}" name="Age_x000a_Division" dataDxfId="755"/>
    <tableColumn id="4" xr3:uid="{00000000-0010-0000-1400-000004000000}" name="Athlete" dataDxfId="754"/>
    <tableColumn id="38" xr3:uid="{00000000-0010-0000-1400-000026000000}" name="Club" dataDxfId="753"/>
    <tableColumn id="37" xr3:uid="{00000000-0010-0000-1400-000025000000}" name="Country" dataDxfId="752"/>
    <tableColumn id="15" xr3:uid="{00000000-0010-0000-1400-00000F000000}" name="Judge 1_x000a_Tamara Beljak" dataDxfId="751"/>
    <tableColumn id="33" xr3:uid="{00000000-0010-0000-1400-000021000000}" name="J1 (-)" dataDxfId="750"/>
    <tableColumn id="26" xr3:uid="{00000000-0010-0000-1400-00001A000000}" name="J1 TOTAL" dataDxfId="749">
      <calculatedColumnFormula>Twirling_Solo_Program2891011121314151617181920222324252627[[#This Row],[Judge 1
Tamara Beljak]]-I2</calculatedColumnFormula>
    </tableColumn>
    <tableColumn id="3" xr3:uid="{00000000-0010-0000-1400-000003000000}" name="J1 (Rank)" dataDxfId="748">
      <calculatedColumnFormula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Row],[Category]],Twirling_Solo_Program2891011121314151617181920222324252627[J1 TOTAL],"&gt;"&amp;Twirling_Solo_Program2891011121314151617181920222324252627[[#This Row],[J1 TOTAL]])+1</calculatedColumnFormula>
    </tableColumn>
    <tableColumn id="16" xr3:uid="{00000000-0010-0000-1400-000010000000}" name="Judge 2_x000a_Tihomir Bendelja" dataDxfId="747"/>
    <tableColumn id="34" xr3:uid="{00000000-0010-0000-1400-000022000000}" name="J2 (-)" dataDxfId="746"/>
    <tableColumn id="28" xr3:uid="{00000000-0010-0000-1400-00001C000000}" name="J2 TOTAL" dataDxfId="745">
      <calculatedColumnFormula>Twirling_Solo_Program2891011121314151617181920222324252627[[#This Row],[Judge 2
Tihomir Bendelja]]-Twirling_Solo_Program2891011121314151617181920222324252627[[#This Row],[J2 (-)]]</calculatedColumnFormula>
    </tableColumn>
    <tableColumn id="5" xr3:uid="{00000000-0010-0000-1400-000005000000}" name="J2 (Rank)" dataDxfId="744">
      <calculatedColumnFormula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Row],[Category]],Twirling_Solo_Program2891011121314151617181920222324252627[J2 TOTAL],"&gt;"&amp;Twirling_Solo_Program2891011121314151617181920222324252627[[#This Row],[J2 TOTAL]])+1</calculatedColumnFormula>
    </tableColumn>
    <tableColumn id="17" xr3:uid="{00000000-0010-0000-1400-000011000000}" name="Judge 3_x000a_Lucija Ljubičić" dataDxfId="743"/>
    <tableColumn id="35" xr3:uid="{00000000-0010-0000-1400-000023000000}" name="J3 (-)" dataDxfId="742"/>
    <tableColumn id="30" xr3:uid="{00000000-0010-0000-1400-00001E000000}" name="J3 TOTAL" dataDxfId="741">
      <calculatedColumnFormula>Twirling_Solo_Program2891011121314151617181920222324252627[[#This Row],[Judge 3
Lucija Ljubičić]]-Q2</calculatedColumnFormula>
    </tableColumn>
    <tableColumn id="6" xr3:uid="{00000000-0010-0000-1400-000006000000}" name="J3 (Rank)" dataDxfId="740">
      <calculatedColumnFormula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Row],[Category]],Twirling_Solo_Program2891011121314151617181920222324252627[J3 TOTAL],"&gt;"&amp;Twirling_Solo_Program2891011121314151617181920222324252627[[#This Row],[J3 TOTAL]])+1</calculatedColumnFormula>
    </tableColumn>
    <tableColumn id="18" xr3:uid="{00000000-0010-0000-1400-000012000000}" name="Judge 4_x000a_Bernard Barač" dataDxfId="739"/>
    <tableColumn id="36" xr3:uid="{00000000-0010-0000-1400-000024000000}" name="J4 (-)" dataDxfId="738"/>
    <tableColumn id="31" xr3:uid="{00000000-0010-0000-1400-00001F000000}" name="J4 TOTAL" dataDxfId="737">
      <calculatedColumnFormula>Twirling_Solo_Program2891011121314151617181920222324252627[[#This Row],[Judge 4
Bernard Barač]]-U2</calculatedColumnFormula>
    </tableColumn>
    <tableColumn id="7" xr3:uid="{00000000-0010-0000-1400-000007000000}" name="J4 (Rank)" dataDxfId="736">
      <calculatedColumnFormula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Row],[Category]],Twirling_Solo_Program2891011121314151617181920222324252627[J4 TOTAL],"&gt;"&amp;Twirling_Solo_Program2891011121314151617181920222324252627[[#This Row],[J4 TOTAL]])+1</calculatedColumnFormula>
    </tableColumn>
    <tableColumn id="20" xr3:uid="{00000000-0010-0000-1400-000014000000}" name="Total" dataDxfId="735">
      <calculatedColumnFormula>SUM(Twirling_Solo_Program2891011121314151617181920222324252627[[#This Row],[J1 TOTAL]]+Twirling_Solo_Program2891011121314151617181920222324252627[[#This Row],[J2 TOTAL]]+Twirling_Solo_Program2891011121314151617181920222324252627[[#This Row],[J3 TOTAL]]+Twirling_Solo_Program2891011121314151617181920222324252627[[#This Row],[J4 TOTAL]])</calculatedColumnFormula>
    </tableColumn>
    <tableColumn id="23" xr3:uid="{00000000-0010-0000-1400-000017000000}" name="Low" dataDxfId="734"/>
    <tableColumn id="19" xr3:uid="{00000000-0010-0000-1400-000013000000}" name="High" dataDxfId="733"/>
    <tableColumn id="25" xr3:uid="{00000000-0010-0000-1400-000019000000}" name="Final Total" dataDxfId="732">
      <calculatedColumnFormula>SUM(Twirling_Solo_Program2891011121314151617181920222324252627[[#This Row],[Total]]-Twirling_Solo_Program2891011121314151617181920222324252627[[#This Row],[Low]]-Twirling_Solo_Program2891011121314151617181920222324252627[[#This Row],[High]])</calculatedColumnFormula>
    </tableColumn>
    <tableColumn id="24" xr3:uid="{00000000-0010-0000-1400-000018000000}" name="Avg" dataDxfId="731">
      <calculatedColumnFormula>AVERAGE(H2,L2,P2,T2)</calculatedColumnFormula>
    </tableColumn>
    <tableColumn id="22" xr3:uid="{00000000-0010-0000-1400-000016000000}" name="FINAL SCORE" dataDxfId="730">
      <calculatedColumnFormula>Twirling_Solo_Program2891011121314151617181920222324252627[[#This Row],[Final Total]]</calculatedColumnFormula>
    </tableColumn>
    <tableColumn id="27" xr3:uid="{00000000-0010-0000-1400-00001B000000}" name="Rank" dataDxfId="729">
      <calculatedColumnFormula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Row],[Category]],Twirling_Solo_Program2891011121314151617181920222324252627[FINAL SCORE],"&gt;"&amp;Twirling_Solo_Program2891011121314151617181920222324252627[[#This Row],[FINAL SCORE]])+1</calculatedColumnFormula>
    </tableColumn>
    <tableColumn id="39" xr3:uid="{00000000-0010-0000-1400-000027000000}" name="Category Type" dataDxfId="7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C000000}" name="Twirling_Solo_Program2891011121314151617181920222324252627282930313435" displayName="Twirling_Solo_Program2891011121314151617181920222324252627282930313435" ref="A1:AE4" totalsRowShown="0" headerRowDxfId="496" dataDxfId="495">
  <autoFilter ref="A1:AE4" xr:uid="{00000000-0009-0000-0100-000022000000}"/>
  <sortState xmlns:xlrd2="http://schemas.microsoft.com/office/spreadsheetml/2017/richdata2" ref="A2:AE4">
    <sortCondition ref="AD2:AD4"/>
  </sortState>
  <tableColumns count="31">
    <tableColumn id="1" xr3:uid="{00000000-0010-0000-1C00-000001000000}" name="Start No." dataDxfId="527"/>
    <tableColumn id="8" xr3:uid="{00000000-0010-0000-1C00-000008000000}" name="Lane" dataDxfId="526"/>
    <tableColumn id="9" xr3:uid="{00000000-0010-0000-1C00-000009000000}" name="Category" dataDxfId="525"/>
    <tableColumn id="32" xr3:uid="{00000000-0010-0000-1C00-000020000000}" name="Age_x000a_Division" dataDxfId="524"/>
    <tableColumn id="4" xr3:uid="{00000000-0010-0000-1C00-000004000000}" name="Athlete" dataDxfId="523"/>
    <tableColumn id="38" xr3:uid="{00000000-0010-0000-1C00-000026000000}" name="Club" dataDxfId="522"/>
    <tableColumn id="37" xr3:uid="{00000000-0010-0000-1C00-000025000000}" name="Country" dataDxfId="521"/>
    <tableColumn id="15" xr3:uid="{00000000-0010-0000-1C00-00000F000000}" name="Judge 1_x000a_Tamara Beljak" dataDxfId="520"/>
    <tableColumn id="33" xr3:uid="{00000000-0010-0000-1C00-000021000000}" name="J1 (-)" dataDxfId="519"/>
    <tableColumn id="26" xr3:uid="{00000000-0010-0000-1C00-00001A000000}" name="J1 TOTAL" dataDxfId="518">
      <calculatedColumnFormula>Twirling_Solo_Program2891011121314151617181920222324252627282930313435[[#This Row],[Judge 1
Tamara Beljak]]-I2</calculatedColumnFormula>
    </tableColumn>
    <tableColumn id="3" xr3:uid="{00000000-0010-0000-1C00-000003000000}" name="J1 (Rank)" dataDxfId="517">
      <calculatedColumnFormula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Row],[Category]],Twirling_Solo_Program2891011121314151617181920222324252627282930313435[J1 TOTAL],"&gt;"&amp;Twirling_Solo_Program2891011121314151617181920222324252627282930313435[[#This Row],[J1 TOTAL]])+1</calculatedColumnFormula>
    </tableColumn>
    <tableColumn id="16" xr3:uid="{00000000-0010-0000-1C00-000010000000}" name="Judge 2_x000a_Tihomir Bendelja" dataDxfId="516"/>
    <tableColumn id="34" xr3:uid="{00000000-0010-0000-1C00-000022000000}" name="J2 (-)" dataDxfId="515"/>
    <tableColumn id="28" xr3:uid="{00000000-0010-0000-1C00-00001C000000}" name="J2 TOTAL" dataDxfId="514">
      <calculatedColumnFormula>Twirling_Solo_Program2891011121314151617181920222324252627282930313435[[#This Row],[Judge 2
Tihomir Bendelja]]-Twirling_Solo_Program2891011121314151617181920222324252627282930313435[[#This Row],[J2 (-)]]</calculatedColumnFormula>
    </tableColumn>
    <tableColumn id="5" xr3:uid="{00000000-0010-0000-1C00-000005000000}" name="J2 (Rank)" dataDxfId="513">
      <calculatedColumnFormula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Row],[Category]],Twirling_Solo_Program2891011121314151617181920222324252627282930313435[J2 TOTAL],"&gt;"&amp;Twirling_Solo_Program2891011121314151617181920222324252627282930313435[[#This Row],[J2 TOTAL]])+1</calculatedColumnFormula>
    </tableColumn>
    <tableColumn id="17" xr3:uid="{00000000-0010-0000-1C00-000011000000}" name="Judge 3_x000a_Lucija Ljubičić" dataDxfId="512"/>
    <tableColumn id="35" xr3:uid="{00000000-0010-0000-1C00-000023000000}" name="J3 (-)" dataDxfId="511"/>
    <tableColumn id="30" xr3:uid="{00000000-0010-0000-1C00-00001E000000}" name="J3 TOTAL" dataDxfId="510">
      <calculatedColumnFormula>Twirling_Solo_Program2891011121314151617181920222324252627282930313435[[#This Row],[Judge 3
Lucija Ljubičić]]-Q2</calculatedColumnFormula>
    </tableColumn>
    <tableColumn id="6" xr3:uid="{00000000-0010-0000-1C00-000006000000}" name="J3 (Rank)" dataDxfId="509">
      <calculatedColumnFormula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Row],[Category]],Twirling_Solo_Program2891011121314151617181920222324252627282930313435[J3 TOTAL],"&gt;"&amp;Twirling_Solo_Program2891011121314151617181920222324252627282930313435[[#This Row],[J3 TOTAL]])+1</calculatedColumnFormula>
    </tableColumn>
    <tableColumn id="18" xr3:uid="{00000000-0010-0000-1C00-000012000000}" name="Judge 4_x000a_Bernard Barač" dataDxfId="508"/>
    <tableColumn id="36" xr3:uid="{00000000-0010-0000-1C00-000024000000}" name="J4 (-)" dataDxfId="507"/>
    <tableColumn id="31" xr3:uid="{00000000-0010-0000-1C00-00001F000000}" name="J4 TOTAL" dataDxfId="506">
      <calculatedColumnFormula>Twirling_Solo_Program2891011121314151617181920222324252627282930313435[[#This Row],[Judge 4
Bernard Barač]]-U2</calculatedColumnFormula>
    </tableColumn>
    <tableColumn id="7" xr3:uid="{00000000-0010-0000-1C00-000007000000}" name="J4 (Rank)" dataDxfId="505">
      <calculatedColumnFormula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Row],[Category]],Twirling_Solo_Program2891011121314151617181920222324252627282930313435[J4 TOTAL],"&gt;"&amp;Twirling_Solo_Program2891011121314151617181920222324252627282930313435[[#This Row],[J4 TOTAL]])+1</calculatedColumnFormula>
    </tableColumn>
    <tableColumn id="20" xr3:uid="{00000000-0010-0000-1C00-000014000000}" name="Total" dataDxfId="504">
      <calculatedColumnFormula>SUM(Twirling_Solo_Program2891011121314151617181920222324252627282930313435[[#This Row],[J1 TOTAL]]+Twirling_Solo_Program2891011121314151617181920222324252627282930313435[[#This Row],[J2 TOTAL]]+Twirling_Solo_Program2891011121314151617181920222324252627282930313435[[#This Row],[J3 TOTAL]]+Twirling_Solo_Program2891011121314151617181920222324252627282930313435[[#This Row],[J4 TOTAL]])</calculatedColumnFormula>
    </tableColumn>
    <tableColumn id="23" xr3:uid="{00000000-0010-0000-1C00-000017000000}" name="Low" dataDxfId="503"/>
    <tableColumn id="19" xr3:uid="{00000000-0010-0000-1C00-000013000000}" name="High" dataDxfId="502"/>
    <tableColumn id="25" xr3:uid="{00000000-0010-0000-1C00-000019000000}" name="Final Total" dataDxfId="501">
      <calculatedColumnFormula>Twirling_Solo_Program2891011121314151617181920222324252627282930313435[[#This Row],[Total]]</calculatedColumnFormula>
    </tableColumn>
    <tableColumn id="24" xr3:uid="{00000000-0010-0000-1C00-000018000000}" name="Avg" dataDxfId="500">
      <calculatedColumnFormula>AVERAGE(H2,L2,P2,T2)</calculatedColumnFormula>
    </tableColumn>
    <tableColumn id="22" xr3:uid="{00000000-0010-0000-1C00-000016000000}" name="FINAL SCORE" dataDxfId="499">
      <calculatedColumnFormula>Twirling_Solo_Program2891011121314151617181920222324252627282930313435[[#This Row],[Final Total]]</calculatedColumnFormula>
    </tableColumn>
    <tableColumn id="27" xr3:uid="{00000000-0010-0000-1C00-00001B000000}" name="Rank" dataDxfId="498">
      <calculatedColumnFormula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Row],[Category]],Twirling_Solo_Program2891011121314151617181920222324252627282930313435[FINAL SCORE],"&gt;"&amp;Twirling_Solo_Program2891011121314151617181920222324252627282930313435[[#This Row],[FINAL SCORE]])+1</calculatedColumnFormula>
    </tableColumn>
    <tableColumn id="39" xr3:uid="{00000000-0010-0000-1C00-000027000000}" name="Category Type" dataDxfId="49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A000000}" name="Twirling_Solo_Program2891011121314151617181920222324252627282930313233" displayName="Twirling_Solo_Program2891011121314151617181920222324252627282930313233" ref="A1:AE6" totalsRowShown="0" headerRowDxfId="562" dataDxfId="561">
  <autoFilter ref="A1:AE6" xr:uid="{00000000-0009-0000-0100-000020000000}"/>
  <sortState xmlns:xlrd2="http://schemas.microsoft.com/office/spreadsheetml/2017/richdata2" ref="A2:AE6">
    <sortCondition ref="AD2:AD6"/>
  </sortState>
  <tableColumns count="31">
    <tableColumn id="1" xr3:uid="{00000000-0010-0000-1A00-000001000000}" name="Start No." dataDxfId="593"/>
    <tableColumn id="8" xr3:uid="{00000000-0010-0000-1A00-000008000000}" name="Lane" dataDxfId="592"/>
    <tableColumn id="9" xr3:uid="{00000000-0010-0000-1A00-000009000000}" name="Category" dataDxfId="591"/>
    <tableColumn id="32" xr3:uid="{00000000-0010-0000-1A00-000020000000}" name="Age_x000a_Division" dataDxfId="590"/>
    <tableColumn id="4" xr3:uid="{00000000-0010-0000-1A00-000004000000}" name="Athlete" dataDxfId="589"/>
    <tableColumn id="38" xr3:uid="{00000000-0010-0000-1A00-000026000000}" name="Club" dataDxfId="588"/>
    <tableColumn id="37" xr3:uid="{00000000-0010-0000-1A00-000025000000}" name="Country" dataDxfId="587"/>
    <tableColumn id="15" xr3:uid="{00000000-0010-0000-1A00-00000F000000}" name="Judge 1_x000a_Tamara Beljak" dataDxfId="586"/>
    <tableColumn id="33" xr3:uid="{00000000-0010-0000-1A00-000021000000}" name="J1 (-)" dataDxfId="585"/>
    <tableColumn id="26" xr3:uid="{00000000-0010-0000-1A00-00001A000000}" name="J1 TOTAL" dataDxfId="584">
      <calculatedColumnFormula>Twirling_Solo_Program2891011121314151617181920222324252627282930313233[[#This Row],[Judge 1
Tamara Beljak]]-I2</calculatedColumnFormula>
    </tableColumn>
    <tableColumn id="3" xr3:uid="{00000000-0010-0000-1A00-000003000000}" name="J1 (Rank)" dataDxfId="583">
      <calculatedColumnFormula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Row],[Category]],Twirling_Solo_Program2891011121314151617181920222324252627282930313233[J1 TOTAL],"&gt;"&amp;Twirling_Solo_Program2891011121314151617181920222324252627282930313233[[#This Row],[J1 TOTAL]])+1</calculatedColumnFormula>
    </tableColumn>
    <tableColumn id="16" xr3:uid="{00000000-0010-0000-1A00-000010000000}" name="Judge 2_x000a_Tihomir Bendelja" dataDxfId="582"/>
    <tableColumn id="34" xr3:uid="{00000000-0010-0000-1A00-000022000000}" name="J2 (-)" dataDxfId="581"/>
    <tableColumn id="28" xr3:uid="{00000000-0010-0000-1A00-00001C000000}" name="J2 TOTAL" dataDxfId="580">
      <calculatedColumnFormula>Twirling_Solo_Program2891011121314151617181920222324252627282930313233[[#This Row],[Judge 2
Tihomir Bendelja]]-Twirling_Solo_Program2891011121314151617181920222324252627282930313233[[#This Row],[J2 (-)]]</calculatedColumnFormula>
    </tableColumn>
    <tableColumn id="5" xr3:uid="{00000000-0010-0000-1A00-000005000000}" name="J2 (Rank)" dataDxfId="579">
      <calculatedColumnFormula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Row],[Category]],Twirling_Solo_Program2891011121314151617181920222324252627282930313233[J2 TOTAL],"&gt;"&amp;Twirling_Solo_Program2891011121314151617181920222324252627282930313233[[#This Row],[J2 TOTAL]])+1</calculatedColumnFormula>
    </tableColumn>
    <tableColumn id="17" xr3:uid="{00000000-0010-0000-1A00-000011000000}" name="Judge 3_x000a_Lucija Ljubičić" dataDxfId="578"/>
    <tableColumn id="35" xr3:uid="{00000000-0010-0000-1A00-000023000000}" name="J3 (-)" dataDxfId="577"/>
    <tableColumn id="30" xr3:uid="{00000000-0010-0000-1A00-00001E000000}" name="J3 TOTAL" dataDxfId="576">
      <calculatedColumnFormula>Twirling_Solo_Program2891011121314151617181920222324252627282930313233[[#This Row],[Judge 3
Lucija Ljubičić]]-Q2</calculatedColumnFormula>
    </tableColumn>
    <tableColumn id="6" xr3:uid="{00000000-0010-0000-1A00-000006000000}" name="J3 (Rank)" dataDxfId="575">
      <calculatedColumnFormula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Row],[Category]],Twirling_Solo_Program2891011121314151617181920222324252627282930313233[J3 TOTAL],"&gt;"&amp;Twirling_Solo_Program2891011121314151617181920222324252627282930313233[[#This Row],[J3 TOTAL]])+1</calculatedColumnFormula>
    </tableColumn>
    <tableColumn id="18" xr3:uid="{00000000-0010-0000-1A00-000012000000}" name="Judge 4_x000a_Bernard Barač" dataDxfId="574"/>
    <tableColumn id="36" xr3:uid="{00000000-0010-0000-1A00-000024000000}" name="J4 (-)" dataDxfId="573"/>
    <tableColumn id="31" xr3:uid="{00000000-0010-0000-1A00-00001F000000}" name="J4 TOTAL" dataDxfId="572">
      <calculatedColumnFormula>Twirling_Solo_Program2891011121314151617181920222324252627282930313233[[#This Row],[Judge 4
Bernard Barač]]-U2</calculatedColumnFormula>
    </tableColumn>
    <tableColumn id="7" xr3:uid="{00000000-0010-0000-1A00-000007000000}" name="J4 (Rank)" dataDxfId="571">
      <calculatedColumnFormula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Row],[Category]],Twirling_Solo_Program2891011121314151617181920222324252627282930313233[J4 TOTAL],"&gt;"&amp;Twirling_Solo_Program2891011121314151617181920222324252627282930313233[[#This Row],[J4 TOTAL]])+1</calculatedColumnFormula>
    </tableColumn>
    <tableColumn id="20" xr3:uid="{00000000-0010-0000-1A00-000014000000}" name="Total" dataDxfId="570">
      <calculatedColumnFormula>SUM(Twirling_Solo_Program2891011121314151617181920222324252627282930313233[[#This Row],[J1 TOTAL]]+Twirling_Solo_Program2891011121314151617181920222324252627282930313233[[#This Row],[J2 TOTAL]]+Twirling_Solo_Program2891011121314151617181920222324252627282930313233[[#This Row],[J3 TOTAL]]+Twirling_Solo_Program2891011121314151617181920222324252627282930313233[[#This Row],[J4 TOTAL]])</calculatedColumnFormula>
    </tableColumn>
    <tableColumn id="23" xr3:uid="{00000000-0010-0000-1A00-000017000000}" name="Low" dataDxfId="569"/>
    <tableColumn id="19" xr3:uid="{00000000-0010-0000-1A00-000013000000}" name="High" dataDxfId="568"/>
    <tableColumn id="25" xr3:uid="{00000000-0010-0000-1A00-000019000000}" name="Final Total" dataDxfId="567">
      <calculatedColumnFormula>Twirling_Solo_Program2891011121314151617181920222324252627282930313233[[#This Row],[Total]]</calculatedColumnFormula>
    </tableColumn>
    <tableColumn id="24" xr3:uid="{00000000-0010-0000-1A00-000018000000}" name="Avg" dataDxfId="566">
      <calculatedColumnFormula>AVERAGE(H2,L2,P2,T2)</calculatedColumnFormula>
    </tableColumn>
    <tableColumn id="22" xr3:uid="{00000000-0010-0000-1A00-000016000000}" name="FINAL SCORE" dataDxfId="565">
      <calculatedColumnFormula>Twirling_Solo_Program2891011121314151617181920222324252627282930313233[[#This Row],[Final Total]]</calculatedColumnFormula>
    </tableColumn>
    <tableColumn id="27" xr3:uid="{00000000-0010-0000-1A00-00001B000000}" name="Rank" dataDxfId="564">
      <calculatedColumnFormula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Row],[Category]],Twirling_Solo_Program2891011121314151617181920222324252627282930313233[FINAL SCORE],"&gt;"&amp;Twirling_Solo_Program2891011121314151617181920222324252627282930313233[[#This Row],[FINAL SCORE]])+1</calculatedColumnFormula>
    </tableColumn>
    <tableColumn id="39" xr3:uid="{00000000-0010-0000-1A00-000027000000}" name="Category Type" dataDxfId="56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Twirling_Solo_Program2891011121314151617181920" displayName="Twirling_Solo_Program2891011121314151617181920" ref="A1:AE3" totalsRowShown="0" headerRowDxfId="925" dataDxfId="924">
  <autoFilter ref="A1:AE3" xr:uid="{00000000-0009-0000-0100-000013000000}"/>
  <sortState xmlns:xlrd2="http://schemas.microsoft.com/office/spreadsheetml/2017/richdata2" ref="A2:AE3">
    <sortCondition ref="AD2:AD3"/>
  </sortState>
  <tableColumns count="31">
    <tableColumn id="1" xr3:uid="{00000000-0010-0000-0E00-000001000000}" name="Start No." dataDxfId="956"/>
    <tableColumn id="8" xr3:uid="{00000000-0010-0000-0E00-000008000000}" name="Lane" dataDxfId="955"/>
    <tableColumn id="9" xr3:uid="{00000000-0010-0000-0E00-000009000000}" name="Category" dataDxfId="954"/>
    <tableColumn id="32" xr3:uid="{00000000-0010-0000-0E00-000020000000}" name="Age_x000a_Division" dataDxfId="953"/>
    <tableColumn id="4" xr3:uid="{00000000-0010-0000-0E00-000004000000}" name="Athlete" dataDxfId="952"/>
    <tableColumn id="38" xr3:uid="{00000000-0010-0000-0E00-000026000000}" name="Club" dataDxfId="951"/>
    <tableColumn id="37" xr3:uid="{00000000-0010-0000-0E00-000025000000}" name="Country" dataDxfId="950"/>
    <tableColumn id="15" xr3:uid="{00000000-0010-0000-0E00-00000F000000}" name="Judge 1_x000a_Tamara Beljak" dataDxfId="949"/>
    <tableColumn id="33" xr3:uid="{00000000-0010-0000-0E00-000021000000}" name="J1 (-)" dataDxfId="948"/>
    <tableColumn id="26" xr3:uid="{00000000-0010-0000-0E00-00001A000000}" name="J1 TOTAL" dataDxfId="947">
      <calculatedColumnFormula>Twirling_Solo_Program2891011121314151617181920[[#This Row],[Judge 1
Tamara Beljak]]-I2</calculatedColumnFormula>
    </tableColumn>
    <tableColumn id="3" xr3:uid="{00000000-0010-0000-0E00-000003000000}" name="J1 (Rank)" dataDxfId="946">
      <calculatedColumnFormula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Row],[Category]],Twirling_Solo_Program2891011121314151617181920[J1 TOTAL],"&gt;"&amp;Twirling_Solo_Program2891011121314151617181920[[#This Row],[J1 TOTAL]])+1</calculatedColumnFormula>
    </tableColumn>
    <tableColumn id="16" xr3:uid="{00000000-0010-0000-0E00-000010000000}" name="Judge 2_x000a_Tihomir Bendelja" dataDxfId="945"/>
    <tableColumn id="34" xr3:uid="{00000000-0010-0000-0E00-000022000000}" name="J2 (-)" dataDxfId="944"/>
    <tableColumn id="28" xr3:uid="{00000000-0010-0000-0E00-00001C000000}" name="J2 TOTAL" dataDxfId="943">
      <calculatedColumnFormula>Twirling_Solo_Program2891011121314151617181920[[#This Row],[Judge 2
Tihomir Bendelja]]-Twirling_Solo_Program2891011121314151617181920[[#This Row],[J2 (-)]]</calculatedColumnFormula>
    </tableColumn>
    <tableColumn id="5" xr3:uid="{00000000-0010-0000-0E00-000005000000}" name="J2 (Rank)" dataDxfId="942">
      <calculatedColumnFormula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Row],[Category]],Twirling_Solo_Program2891011121314151617181920[J2 TOTAL],"&gt;"&amp;Twirling_Solo_Program2891011121314151617181920[[#This Row],[J2 TOTAL]])+1</calculatedColumnFormula>
    </tableColumn>
    <tableColumn id="17" xr3:uid="{00000000-0010-0000-0E00-000011000000}" name="Judge 3_x000a_Lucija Ljubičić" dataDxfId="941"/>
    <tableColumn id="35" xr3:uid="{00000000-0010-0000-0E00-000023000000}" name="J3 (-)" dataDxfId="940"/>
    <tableColumn id="30" xr3:uid="{00000000-0010-0000-0E00-00001E000000}" name="J3 TOTAL" dataDxfId="939">
      <calculatedColumnFormula>Twirling_Solo_Program2891011121314151617181920[[#This Row],[Judge 3
Lucija Ljubičić]]-Q2</calculatedColumnFormula>
    </tableColumn>
    <tableColumn id="6" xr3:uid="{00000000-0010-0000-0E00-000006000000}" name="J3 (Rank)" dataDxfId="938">
      <calculatedColumnFormula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Row],[Category]],Twirling_Solo_Program2891011121314151617181920[J3 TOTAL],"&gt;"&amp;Twirling_Solo_Program2891011121314151617181920[[#This Row],[J3 TOTAL]])+1</calculatedColumnFormula>
    </tableColumn>
    <tableColumn id="18" xr3:uid="{00000000-0010-0000-0E00-000012000000}" name="Judge 4_x000a_Bernard Barač" dataDxfId="937"/>
    <tableColumn id="36" xr3:uid="{00000000-0010-0000-0E00-000024000000}" name="J4 (-)" dataDxfId="936"/>
    <tableColumn id="31" xr3:uid="{00000000-0010-0000-0E00-00001F000000}" name="J4 TOTAL" dataDxfId="935">
      <calculatedColumnFormula>Twirling_Solo_Program2891011121314151617181920[[#This Row],[Judge 4
Bernard Barač]]-U2</calculatedColumnFormula>
    </tableColumn>
    <tableColumn id="7" xr3:uid="{00000000-0010-0000-0E00-000007000000}" name="J4 (Rank)" dataDxfId="934">
      <calculatedColumnFormula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Row],[Category]],Twirling_Solo_Program2891011121314151617181920[J4 TOTAL],"&gt;"&amp;Twirling_Solo_Program2891011121314151617181920[[#This Row],[J4 TOTAL]])+1</calculatedColumnFormula>
    </tableColumn>
    <tableColumn id="20" xr3:uid="{00000000-0010-0000-0E00-000014000000}" name="Total" dataDxfId="933">
      <calculatedColumnFormula>SUM(Twirling_Solo_Program2891011121314151617181920[[#This Row],[J1 TOTAL]]+Twirling_Solo_Program2891011121314151617181920[[#This Row],[J2 TOTAL]]+Twirling_Solo_Program2891011121314151617181920[[#This Row],[J3 TOTAL]]+Twirling_Solo_Program2891011121314151617181920[[#This Row],[J4 TOTAL]])</calculatedColumnFormula>
    </tableColumn>
    <tableColumn id="23" xr3:uid="{00000000-0010-0000-0E00-000017000000}" name="Low" dataDxfId="932"/>
    <tableColumn id="19" xr3:uid="{00000000-0010-0000-0E00-000013000000}" name="High" dataDxfId="931"/>
    <tableColumn id="25" xr3:uid="{00000000-0010-0000-0E00-000019000000}" name="Final Total" dataDxfId="930">
      <calculatedColumnFormula>SUM(Twirling_Solo_Program2891011121314151617181920[[#This Row],[Total]]-Twirling_Solo_Program2891011121314151617181920[[#This Row],[Low]]-Twirling_Solo_Program2891011121314151617181920[[#This Row],[High]])</calculatedColumnFormula>
    </tableColumn>
    <tableColumn id="24" xr3:uid="{00000000-0010-0000-0E00-000018000000}" name="Avg" dataDxfId="929">
      <calculatedColumnFormula>AVERAGE(H2,L2,P2,T2)</calculatedColumnFormula>
    </tableColumn>
    <tableColumn id="22" xr3:uid="{00000000-0010-0000-0E00-000016000000}" name="FINAL SCORE" dataDxfId="928">
      <calculatedColumnFormula>Twirling_Solo_Program2891011121314151617181920[[#This Row],[Final Total]]</calculatedColumnFormula>
    </tableColumn>
    <tableColumn id="27" xr3:uid="{00000000-0010-0000-0E00-00001B000000}" name="Rank" dataDxfId="927">
      <calculatedColumnFormula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Row],[Category]],Twirling_Solo_Program2891011121314151617181920[FINAL SCORE],"&gt;"&amp;Twirling_Solo_Program2891011121314151617181920[[#This Row],[FINAL SCORE]])+1</calculatedColumnFormula>
    </tableColumn>
    <tableColumn id="39" xr3:uid="{00000000-0010-0000-0E00-000027000000}" name="Category Type" dataDxfId="92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5000000}" name="Twirling_Solo_Program2891011121314151617181920222324252627282930313435364344" displayName="Twirling_Solo_Program2891011121314151617181920222324252627282930313435364344" ref="A1:AE5" totalsRowShown="0" headerRowDxfId="199" dataDxfId="198">
  <autoFilter ref="A1:AE5" xr:uid="{00000000-0009-0000-0100-00002B000000}"/>
  <sortState xmlns:xlrd2="http://schemas.microsoft.com/office/spreadsheetml/2017/richdata2" ref="A2:AE5">
    <sortCondition ref="AD2:AD5"/>
  </sortState>
  <tableColumns count="31">
    <tableColumn id="1" xr3:uid="{00000000-0010-0000-2500-000001000000}" name="Start No." dataDxfId="230"/>
    <tableColumn id="8" xr3:uid="{00000000-0010-0000-2500-000008000000}" name="Lane" dataDxfId="229"/>
    <tableColumn id="9" xr3:uid="{00000000-0010-0000-2500-000009000000}" name="Category" dataDxfId="228"/>
    <tableColumn id="32" xr3:uid="{00000000-0010-0000-2500-000020000000}" name="Age_x000a_Division" dataDxfId="227"/>
    <tableColumn id="4" xr3:uid="{00000000-0010-0000-2500-000004000000}" name="Athlete" dataDxfId="226"/>
    <tableColumn id="38" xr3:uid="{00000000-0010-0000-2500-000026000000}" name="Club" dataDxfId="225"/>
    <tableColumn id="37" xr3:uid="{00000000-0010-0000-2500-000025000000}" name="Country" dataDxfId="224"/>
    <tableColumn id="15" xr3:uid="{00000000-0010-0000-2500-00000F000000}" name="Judge 1_x000a_Tamara Beljak" dataDxfId="223"/>
    <tableColumn id="33" xr3:uid="{00000000-0010-0000-2500-000021000000}" name="J1 (-)" dataDxfId="222"/>
    <tableColumn id="26" xr3:uid="{00000000-0010-0000-2500-00001A000000}" name="J1 TOTAL" dataDxfId="221">
      <calculatedColumnFormula>Twirling_Solo_Program2891011121314151617181920222324252627282930313435364344[[#This Row],[Judge 1
Tamara Beljak]]-I2</calculatedColumnFormula>
    </tableColumn>
    <tableColumn id="3" xr3:uid="{00000000-0010-0000-2500-000003000000}" name="J1 (Rank)" dataDxfId="220">
      <calculatedColumnFormula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Row],[Category]],Twirling_Solo_Program2891011121314151617181920222324252627282930313435364344[J1 TOTAL],"&gt;"&amp;Twirling_Solo_Program2891011121314151617181920222324252627282930313435364344[[#This Row],[J1 TOTAL]])+1</calculatedColumnFormula>
    </tableColumn>
    <tableColumn id="16" xr3:uid="{00000000-0010-0000-2500-000010000000}" name="Judge 2_x000a_Tihomir Bendelja" dataDxfId="219"/>
    <tableColumn id="34" xr3:uid="{00000000-0010-0000-2500-000022000000}" name="J2 (-)" dataDxfId="218"/>
    <tableColumn id="28" xr3:uid="{00000000-0010-0000-2500-00001C000000}" name="J2 TOTAL" dataDxfId="217">
      <calculatedColumnFormula>Twirling_Solo_Program2891011121314151617181920222324252627282930313435364344[[#This Row],[Judge 2
Tihomir Bendelja]]-Twirling_Solo_Program2891011121314151617181920222324252627282930313435364344[[#This Row],[J2 (-)]]</calculatedColumnFormula>
    </tableColumn>
    <tableColumn id="5" xr3:uid="{00000000-0010-0000-2500-000005000000}" name="J2 (Rank)" dataDxfId="216">
      <calculatedColumnFormula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Row],[Category]],Twirling_Solo_Program2891011121314151617181920222324252627282930313435364344[J2 TOTAL],"&gt;"&amp;Twirling_Solo_Program2891011121314151617181920222324252627282930313435364344[[#This Row],[J2 TOTAL]])+1</calculatedColumnFormula>
    </tableColumn>
    <tableColumn id="17" xr3:uid="{00000000-0010-0000-2500-000011000000}" name="Judge 3_x000a_Lucija Ljubičić" dataDxfId="215"/>
    <tableColumn id="35" xr3:uid="{00000000-0010-0000-2500-000023000000}" name="J3 (-)" dataDxfId="214"/>
    <tableColumn id="30" xr3:uid="{00000000-0010-0000-2500-00001E000000}" name="J3 TOTAL" dataDxfId="213">
      <calculatedColumnFormula>Twirling_Solo_Program2891011121314151617181920222324252627282930313435364344[[#This Row],[Judge 3
Lucija Ljubičić]]-Q2</calculatedColumnFormula>
    </tableColumn>
    <tableColumn id="6" xr3:uid="{00000000-0010-0000-2500-000006000000}" name="J3 (Rank)" dataDxfId="212">
      <calculatedColumnFormula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Row],[Category]],Twirling_Solo_Program2891011121314151617181920222324252627282930313435364344[J3 TOTAL],"&gt;"&amp;Twirling_Solo_Program2891011121314151617181920222324252627282930313435364344[[#This Row],[J3 TOTAL]])+1</calculatedColumnFormula>
    </tableColumn>
    <tableColumn id="18" xr3:uid="{00000000-0010-0000-2500-000012000000}" name="Judge 4_x000a_Bernard Barač" dataDxfId="211"/>
    <tableColumn id="36" xr3:uid="{00000000-0010-0000-2500-000024000000}" name="J4 (-)" dataDxfId="210"/>
    <tableColumn id="31" xr3:uid="{00000000-0010-0000-2500-00001F000000}" name="J4 TOTAL" dataDxfId="209">
      <calculatedColumnFormula>Twirling_Solo_Program2891011121314151617181920222324252627282930313435364344[[#This Row],[Judge 4
Bernard Barač]]-U2</calculatedColumnFormula>
    </tableColumn>
    <tableColumn id="7" xr3:uid="{00000000-0010-0000-2500-000007000000}" name="J4 (Rank)" dataDxfId="208">
      <calculatedColumnFormula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Row],[Category]],Twirling_Solo_Program2891011121314151617181920222324252627282930313435364344[J4 TOTAL],"&gt;"&amp;Twirling_Solo_Program2891011121314151617181920222324252627282930313435364344[[#This Row],[J4 TOTAL]])+1</calculatedColumnFormula>
    </tableColumn>
    <tableColumn id="20" xr3:uid="{00000000-0010-0000-2500-000014000000}" name="Total" dataDxfId="207">
      <calculatedColumnFormula>SUM(Twirling_Solo_Program2891011121314151617181920222324252627282930313435364344[[#This Row],[J1 TOTAL]]+Twirling_Solo_Program2891011121314151617181920222324252627282930313435364344[[#This Row],[J2 TOTAL]]+Twirling_Solo_Program2891011121314151617181920222324252627282930313435364344[[#This Row],[J3 TOTAL]]+Twirling_Solo_Program2891011121314151617181920222324252627282930313435364344[[#This Row],[J4 TOTAL]])</calculatedColumnFormula>
    </tableColumn>
    <tableColumn id="23" xr3:uid="{00000000-0010-0000-2500-000017000000}" name="Low" dataDxfId="206"/>
    <tableColumn id="19" xr3:uid="{00000000-0010-0000-2500-000013000000}" name="High" dataDxfId="205"/>
    <tableColumn id="25" xr3:uid="{00000000-0010-0000-2500-000019000000}" name="Final Total" dataDxfId="204">
      <calculatedColumnFormula>Twirling_Solo_Program2891011121314151617181920222324252627282930313435364344[[#This Row],[Total]]</calculatedColumnFormula>
    </tableColumn>
    <tableColumn id="24" xr3:uid="{00000000-0010-0000-2500-000018000000}" name="Avg" dataDxfId="203">
      <calculatedColumnFormula>AVERAGE(H2,L2,P2,T2)</calculatedColumnFormula>
    </tableColumn>
    <tableColumn id="22" xr3:uid="{00000000-0010-0000-2500-000016000000}" name="FINAL SCORE" dataDxfId="202">
      <calculatedColumnFormula>Twirling_Solo_Program2891011121314151617181920222324252627282930313435364344[[#This Row],[Final Total]]</calculatedColumnFormula>
    </tableColumn>
    <tableColumn id="27" xr3:uid="{00000000-0010-0000-2500-00001B000000}" name="Rank" dataDxfId="201">
      <calculatedColumnFormula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Row],[Category]],Twirling_Solo_Program2891011121314151617181920222324252627282930313435364344[FINAL SCORE],"&gt;"&amp;Twirling_Solo_Program2891011121314151617181920222324252627282930313435364344[[#This Row],[FINAL SCORE]])+1</calculatedColumnFormula>
    </tableColumn>
    <tableColumn id="39" xr3:uid="{00000000-0010-0000-2500-000027000000}" name="Category Type" dataDxfId="20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7000000}" name="Twirling_Solo_Program2891011121314151617181920222324252627282930" displayName="Twirling_Solo_Program2891011121314151617181920222324252627282930" ref="A1:AE2" totalsRowShown="0" headerRowDxfId="628" dataDxfId="627">
  <autoFilter ref="A1:AE2" xr:uid="{00000000-0009-0000-0100-00001D000000}"/>
  <tableColumns count="31">
    <tableColumn id="1" xr3:uid="{00000000-0010-0000-1700-000001000000}" name="Start No." dataDxfId="659"/>
    <tableColumn id="8" xr3:uid="{00000000-0010-0000-1700-000008000000}" name="Lane" dataDxfId="658"/>
    <tableColumn id="9" xr3:uid="{00000000-0010-0000-1700-000009000000}" name="Category" dataDxfId="657"/>
    <tableColumn id="32" xr3:uid="{00000000-0010-0000-1700-000020000000}" name="Age_x000a_Division" dataDxfId="656"/>
    <tableColumn id="4" xr3:uid="{00000000-0010-0000-1700-000004000000}" name="Athlete" dataDxfId="655"/>
    <tableColumn id="38" xr3:uid="{00000000-0010-0000-1700-000026000000}" name="Club" dataDxfId="654"/>
    <tableColumn id="37" xr3:uid="{00000000-0010-0000-1700-000025000000}" name="Country" dataDxfId="653"/>
    <tableColumn id="15" xr3:uid="{00000000-0010-0000-1700-00000F000000}" name="Judge 1_x000a_Tamara Beljak" dataDxfId="652"/>
    <tableColumn id="33" xr3:uid="{00000000-0010-0000-1700-000021000000}" name="J1 (-)" dataDxfId="651"/>
    <tableColumn id="26" xr3:uid="{00000000-0010-0000-1700-00001A000000}" name="J1 TOTAL" dataDxfId="650">
      <calculatedColumnFormula>Twirling_Solo_Program2891011121314151617181920222324252627282930[[#This Row],[Judge 1
Tamara Beljak]]-I2</calculatedColumnFormula>
    </tableColumn>
    <tableColumn id="3" xr3:uid="{00000000-0010-0000-1700-000003000000}" name="J1 (Rank)" dataDxfId="649">
      <calculatedColumnFormula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Row],[Category]],Twirling_Solo_Program2891011121314151617181920222324252627282930[J1 TOTAL],"&gt;"&amp;Twirling_Solo_Program2891011121314151617181920222324252627282930[[#This Row],[J1 TOTAL]])+1</calculatedColumnFormula>
    </tableColumn>
    <tableColumn id="16" xr3:uid="{00000000-0010-0000-1700-000010000000}" name="Judge 2_x000a_Tihomir Bendelja" dataDxfId="648"/>
    <tableColumn id="34" xr3:uid="{00000000-0010-0000-1700-000022000000}" name="J2 (-)" dataDxfId="647"/>
    <tableColumn id="28" xr3:uid="{00000000-0010-0000-1700-00001C000000}" name="J2 TOTAL" dataDxfId="646">
      <calculatedColumnFormula>Twirling_Solo_Program2891011121314151617181920222324252627282930[[#This Row],[Judge 2
Tihomir Bendelja]]-Twirling_Solo_Program2891011121314151617181920222324252627282930[[#This Row],[J2 (-)]]</calculatedColumnFormula>
    </tableColumn>
    <tableColumn id="5" xr3:uid="{00000000-0010-0000-1700-000005000000}" name="J2 (Rank)" dataDxfId="645">
      <calculatedColumnFormula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Row],[Category]],Twirling_Solo_Program2891011121314151617181920222324252627282930[J2 TOTAL],"&gt;"&amp;Twirling_Solo_Program2891011121314151617181920222324252627282930[[#This Row],[J2 TOTAL]])+1</calculatedColumnFormula>
    </tableColumn>
    <tableColumn id="17" xr3:uid="{00000000-0010-0000-1700-000011000000}" name="Judge 3_x000a_Lucija Ljubičić" dataDxfId="644"/>
    <tableColumn id="35" xr3:uid="{00000000-0010-0000-1700-000023000000}" name="J3 (-)" dataDxfId="643"/>
    <tableColumn id="30" xr3:uid="{00000000-0010-0000-1700-00001E000000}" name="J3 TOTAL" dataDxfId="642">
      <calculatedColumnFormula>Twirling_Solo_Program2891011121314151617181920222324252627282930[[#This Row],[Judge 3
Lucija Ljubičić]]-Q2</calculatedColumnFormula>
    </tableColumn>
    <tableColumn id="6" xr3:uid="{00000000-0010-0000-1700-000006000000}" name="J3 (Rank)" dataDxfId="641">
      <calculatedColumnFormula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Row],[Category]],Twirling_Solo_Program2891011121314151617181920222324252627282930[J3 TOTAL],"&gt;"&amp;Twirling_Solo_Program2891011121314151617181920222324252627282930[[#This Row],[J3 TOTAL]])+1</calculatedColumnFormula>
    </tableColumn>
    <tableColumn id="18" xr3:uid="{00000000-0010-0000-1700-000012000000}" name="Judge 4_x000a_Bernard Barač" dataDxfId="640"/>
    <tableColumn id="36" xr3:uid="{00000000-0010-0000-1700-000024000000}" name="J4 (-)" dataDxfId="639"/>
    <tableColumn id="31" xr3:uid="{00000000-0010-0000-1700-00001F000000}" name="J4 TOTAL" dataDxfId="638">
      <calculatedColumnFormula>Twirling_Solo_Program2891011121314151617181920222324252627282930[[#This Row],[Judge 4
Bernard Barač]]-U2</calculatedColumnFormula>
    </tableColumn>
    <tableColumn id="7" xr3:uid="{00000000-0010-0000-1700-000007000000}" name="J4 (Rank)" dataDxfId="637">
      <calculatedColumnFormula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Row],[Category]],Twirling_Solo_Program2891011121314151617181920222324252627282930[J4 TOTAL],"&gt;"&amp;Twirling_Solo_Program2891011121314151617181920222324252627282930[[#This Row],[J4 TOTAL]])+1</calculatedColumnFormula>
    </tableColumn>
    <tableColumn id="20" xr3:uid="{00000000-0010-0000-1700-000014000000}" name="Total" dataDxfId="636">
      <calculatedColumnFormula>SUM(Twirling_Solo_Program2891011121314151617181920222324252627282930[[#This Row],[J1 TOTAL]]+Twirling_Solo_Program2891011121314151617181920222324252627282930[[#This Row],[J2 TOTAL]]+Twirling_Solo_Program2891011121314151617181920222324252627282930[[#This Row],[J3 TOTAL]]+Twirling_Solo_Program2891011121314151617181920222324252627282930[[#This Row],[J4 TOTAL]])</calculatedColumnFormula>
    </tableColumn>
    <tableColumn id="23" xr3:uid="{00000000-0010-0000-1700-000017000000}" name="Low" dataDxfId="635"/>
    <tableColumn id="19" xr3:uid="{00000000-0010-0000-1700-000013000000}" name="High" dataDxfId="634"/>
    <tableColumn id="25" xr3:uid="{00000000-0010-0000-1700-000019000000}" name="Final Total" dataDxfId="633">
      <calculatedColumnFormula>Twirling_Solo_Program2891011121314151617181920222324252627282930[[#This Row],[Total]]</calculatedColumnFormula>
    </tableColumn>
    <tableColumn id="24" xr3:uid="{00000000-0010-0000-1700-000018000000}" name="Avg" dataDxfId="632">
      <calculatedColumnFormula>AVERAGE(H2,L2,P2,T2)</calculatedColumnFormula>
    </tableColumn>
    <tableColumn id="22" xr3:uid="{00000000-0010-0000-1700-000016000000}" name="FINAL SCORE" dataDxfId="631">
      <calculatedColumnFormula>Twirling_Solo_Program2891011121314151617181920222324252627282930[[#This Row],[Final Total]]</calculatedColumnFormula>
    </tableColumn>
    <tableColumn id="27" xr3:uid="{00000000-0010-0000-1700-00001B000000}" name="Rank" dataDxfId="630">
      <calculatedColumnFormula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Row],[Category]],Twirling_Solo_Program2891011121314151617181920222324252627282930[FINAL SCORE],"&gt;"&amp;Twirling_Solo_Program2891011121314151617181920222324252627282930[[#This Row],[FINAL SCORE]])+1</calculatedColumnFormula>
    </tableColumn>
    <tableColumn id="39" xr3:uid="{00000000-0010-0000-1700-000027000000}" name="Category Type" dataDxfId="629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9000000}" name="Twirling_Solo_Program28910111213141516171819202223242526272829303132" displayName="Twirling_Solo_Program28910111213141516171819202223242526272829303132" ref="A1:AE7" totalsRowShown="0" headerRowDxfId="595" dataDxfId="594">
  <autoFilter ref="A1:AE7" xr:uid="{00000000-0009-0000-0100-00001F000000}"/>
  <sortState xmlns:xlrd2="http://schemas.microsoft.com/office/spreadsheetml/2017/richdata2" ref="A2:AE7">
    <sortCondition ref="AD2:AD7"/>
  </sortState>
  <tableColumns count="31">
    <tableColumn id="1" xr3:uid="{00000000-0010-0000-1900-000001000000}" name="Start No." dataDxfId="626"/>
    <tableColumn id="8" xr3:uid="{00000000-0010-0000-1900-000008000000}" name="Lane" dataDxfId="625"/>
    <tableColumn id="9" xr3:uid="{00000000-0010-0000-1900-000009000000}" name="Category" dataDxfId="624"/>
    <tableColumn id="32" xr3:uid="{00000000-0010-0000-1900-000020000000}" name="Age_x000a_Division" dataDxfId="623"/>
    <tableColumn id="4" xr3:uid="{00000000-0010-0000-1900-000004000000}" name="Athlete" dataDxfId="622"/>
    <tableColumn id="38" xr3:uid="{00000000-0010-0000-1900-000026000000}" name="Club" dataDxfId="621"/>
    <tableColumn id="37" xr3:uid="{00000000-0010-0000-1900-000025000000}" name="Country" dataDxfId="620"/>
    <tableColumn id="15" xr3:uid="{00000000-0010-0000-1900-00000F000000}" name="Judge 1_x000a_Tamara Beljak" dataDxfId="619"/>
    <tableColumn id="33" xr3:uid="{00000000-0010-0000-1900-000021000000}" name="J1 (-)" dataDxfId="618"/>
    <tableColumn id="26" xr3:uid="{00000000-0010-0000-1900-00001A000000}" name="J1 TOTAL" dataDxfId="617">
      <calculatedColumnFormula>Twirling_Solo_Program28910111213141516171819202223242526272829303132[[#This Row],[Judge 1
Tamara Beljak]]-I2</calculatedColumnFormula>
    </tableColumn>
    <tableColumn id="3" xr3:uid="{00000000-0010-0000-1900-000003000000}" name="J1 (Rank)" dataDxfId="616">
      <calculatedColumnFormula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Row],[Category]],Twirling_Solo_Program28910111213141516171819202223242526272829303132[J1 TOTAL],"&gt;"&amp;Twirling_Solo_Program28910111213141516171819202223242526272829303132[[#This Row],[J1 TOTAL]])+1</calculatedColumnFormula>
    </tableColumn>
    <tableColumn id="16" xr3:uid="{00000000-0010-0000-1900-000010000000}" name="Judge 2_x000a_Tihomir Bendelja" dataDxfId="615"/>
    <tableColumn id="34" xr3:uid="{00000000-0010-0000-1900-000022000000}" name="J2 (-)" dataDxfId="614"/>
    <tableColumn id="28" xr3:uid="{00000000-0010-0000-1900-00001C000000}" name="J2 TOTAL" dataDxfId="613">
      <calculatedColumnFormula>Twirling_Solo_Program28910111213141516171819202223242526272829303132[[#This Row],[Judge 2
Tihomir Bendelja]]-Twirling_Solo_Program28910111213141516171819202223242526272829303132[[#This Row],[J2 (-)]]</calculatedColumnFormula>
    </tableColumn>
    <tableColumn id="5" xr3:uid="{00000000-0010-0000-1900-000005000000}" name="J2 (Rank)" dataDxfId="612">
      <calculatedColumnFormula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Row],[Category]],Twirling_Solo_Program28910111213141516171819202223242526272829303132[J2 TOTAL],"&gt;"&amp;Twirling_Solo_Program28910111213141516171819202223242526272829303132[[#This Row],[J2 TOTAL]])+1</calculatedColumnFormula>
    </tableColumn>
    <tableColumn id="17" xr3:uid="{00000000-0010-0000-1900-000011000000}" name="Judge 3_x000a_Lucija Ljubičić" dataDxfId="611"/>
    <tableColumn id="35" xr3:uid="{00000000-0010-0000-1900-000023000000}" name="J3 (-)" dataDxfId="610"/>
    <tableColumn id="30" xr3:uid="{00000000-0010-0000-1900-00001E000000}" name="J3 TOTAL" dataDxfId="609">
      <calculatedColumnFormula>Twirling_Solo_Program28910111213141516171819202223242526272829303132[[#This Row],[Judge 3
Lucija Ljubičić]]-Q2</calculatedColumnFormula>
    </tableColumn>
    <tableColumn id="6" xr3:uid="{00000000-0010-0000-1900-000006000000}" name="J3 (Rank)" dataDxfId="608">
      <calculatedColumnFormula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Row],[Category]],Twirling_Solo_Program28910111213141516171819202223242526272829303132[J3 TOTAL],"&gt;"&amp;Twirling_Solo_Program28910111213141516171819202223242526272829303132[[#This Row],[J3 TOTAL]])+1</calculatedColumnFormula>
    </tableColumn>
    <tableColumn id="18" xr3:uid="{00000000-0010-0000-1900-000012000000}" name="Judge 4_x000a_Bernard Barač" dataDxfId="607"/>
    <tableColumn id="36" xr3:uid="{00000000-0010-0000-1900-000024000000}" name="J4 (-)" dataDxfId="606"/>
    <tableColumn id="31" xr3:uid="{00000000-0010-0000-1900-00001F000000}" name="J4 TOTAL" dataDxfId="605">
      <calculatedColumnFormula>Twirling_Solo_Program28910111213141516171819202223242526272829303132[[#This Row],[Judge 4
Bernard Barač]]-U2</calculatedColumnFormula>
    </tableColumn>
    <tableColumn id="7" xr3:uid="{00000000-0010-0000-1900-000007000000}" name="J4 (Rank)" dataDxfId="604">
      <calculatedColumnFormula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Row],[Category]],Twirling_Solo_Program28910111213141516171819202223242526272829303132[J4 TOTAL],"&gt;"&amp;Twirling_Solo_Program28910111213141516171819202223242526272829303132[[#This Row],[J4 TOTAL]])+1</calculatedColumnFormula>
    </tableColumn>
    <tableColumn id="20" xr3:uid="{00000000-0010-0000-1900-000014000000}" name="Total" dataDxfId="603">
      <calculatedColumnFormula>SUM(Twirling_Solo_Program28910111213141516171819202223242526272829303132[[#This Row],[J1 TOTAL]]+Twirling_Solo_Program28910111213141516171819202223242526272829303132[[#This Row],[J2 TOTAL]]+Twirling_Solo_Program28910111213141516171819202223242526272829303132[[#This Row],[J3 TOTAL]]+Twirling_Solo_Program28910111213141516171819202223242526272829303132[[#This Row],[J4 TOTAL]])</calculatedColumnFormula>
    </tableColumn>
    <tableColumn id="23" xr3:uid="{00000000-0010-0000-1900-000017000000}" name="Low" dataDxfId="602"/>
    <tableColumn id="19" xr3:uid="{00000000-0010-0000-1900-000013000000}" name="High" dataDxfId="601"/>
    <tableColumn id="25" xr3:uid="{00000000-0010-0000-1900-000019000000}" name="Final Total" dataDxfId="600">
      <calculatedColumnFormula>Twirling_Solo_Program28910111213141516171819202223242526272829303132[[#This Row],[Total]]</calculatedColumnFormula>
    </tableColumn>
    <tableColumn id="24" xr3:uid="{00000000-0010-0000-1900-000018000000}" name="Avg" dataDxfId="599">
      <calculatedColumnFormula>AVERAGE(H2,L2,P2,T2)</calculatedColumnFormula>
    </tableColumn>
    <tableColumn id="22" xr3:uid="{00000000-0010-0000-1900-000016000000}" name="FINAL SCORE" dataDxfId="598">
      <calculatedColumnFormula>Twirling_Solo_Program28910111213141516171819202223242526272829303132[[#This Row],[Final Total]]</calculatedColumnFormula>
    </tableColumn>
    <tableColumn id="27" xr3:uid="{00000000-0010-0000-1900-00001B000000}" name="Rank" dataDxfId="597">
      <calculatedColumnFormula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Row],[Category]],Twirling_Solo_Program28910111213141516171819202223242526272829303132[FINAL SCORE],"&gt;"&amp;Twirling_Solo_Program28910111213141516171819202223242526272829303132[[#This Row],[FINAL SCORE]])+1</calculatedColumnFormula>
    </tableColumn>
    <tableColumn id="39" xr3:uid="{00000000-0010-0000-1900-000027000000}" name="Category Type" dataDxfId="59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4000000}" name="Twirling_Solo_Program28910111213141516171819202223242526272829303134353643" displayName="Twirling_Solo_Program28910111213141516171819202223242526272829303134353643" ref="A1:AE7" totalsRowShown="0" headerRowDxfId="232" dataDxfId="231">
  <autoFilter ref="A1:AE7" xr:uid="{00000000-0009-0000-0100-00002A000000}"/>
  <sortState xmlns:xlrd2="http://schemas.microsoft.com/office/spreadsheetml/2017/richdata2" ref="A2:AE7">
    <sortCondition ref="AD2:AD7"/>
  </sortState>
  <tableColumns count="31">
    <tableColumn id="1" xr3:uid="{00000000-0010-0000-2400-000001000000}" name="Start No." dataDxfId="263"/>
    <tableColumn id="8" xr3:uid="{00000000-0010-0000-2400-000008000000}" name="Lane" dataDxfId="262"/>
    <tableColumn id="9" xr3:uid="{00000000-0010-0000-2400-000009000000}" name="Category" dataDxfId="261"/>
    <tableColumn id="32" xr3:uid="{00000000-0010-0000-2400-000020000000}" name="Age_x000a_Division" dataDxfId="260"/>
    <tableColumn id="4" xr3:uid="{00000000-0010-0000-2400-000004000000}" name="Athlete" dataDxfId="259"/>
    <tableColumn id="38" xr3:uid="{00000000-0010-0000-2400-000026000000}" name="Club" dataDxfId="258"/>
    <tableColumn id="37" xr3:uid="{00000000-0010-0000-2400-000025000000}" name="Country" dataDxfId="257"/>
    <tableColumn id="15" xr3:uid="{00000000-0010-0000-2400-00000F000000}" name="Judge 1_x000a_Tamara Beljak" dataDxfId="256"/>
    <tableColumn id="33" xr3:uid="{00000000-0010-0000-2400-000021000000}" name="J1 (-)" dataDxfId="255"/>
    <tableColumn id="26" xr3:uid="{00000000-0010-0000-2400-00001A000000}" name="J1 TOTAL" dataDxfId="254">
      <calculatedColumnFormula>Twirling_Solo_Program28910111213141516171819202223242526272829303134353643[[#This Row],[Judge 1
Tamara Beljak]]-I2</calculatedColumnFormula>
    </tableColumn>
    <tableColumn id="3" xr3:uid="{00000000-0010-0000-2400-000003000000}" name="J1 (Rank)" dataDxfId="253">
      <calculatedColumnFormula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Row],[Category]],Twirling_Solo_Program28910111213141516171819202223242526272829303134353643[J1 TOTAL],"&gt;"&amp;Twirling_Solo_Program28910111213141516171819202223242526272829303134353643[[#This Row],[J1 TOTAL]])+1</calculatedColumnFormula>
    </tableColumn>
    <tableColumn id="16" xr3:uid="{00000000-0010-0000-2400-000010000000}" name="Judge 2_x000a_Tihomir Bendelja" dataDxfId="252"/>
    <tableColumn id="34" xr3:uid="{00000000-0010-0000-2400-000022000000}" name="J2 (-)" dataDxfId="251"/>
    <tableColumn id="28" xr3:uid="{00000000-0010-0000-2400-00001C000000}" name="J2 TOTAL" dataDxfId="250">
      <calculatedColumnFormula>Twirling_Solo_Program28910111213141516171819202223242526272829303134353643[[#This Row],[Judge 2
Tihomir Bendelja]]-Twirling_Solo_Program28910111213141516171819202223242526272829303134353643[[#This Row],[J2 (-)]]</calculatedColumnFormula>
    </tableColumn>
    <tableColumn id="5" xr3:uid="{00000000-0010-0000-2400-000005000000}" name="J2 (Rank)" dataDxfId="249">
      <calculatedColumnFormula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Row],[Category]],Twirling_Solo_Program28910111213141516171819202223242526272829303134353643[J2 TOTAL],"&gt;"&amp;Twirling_Solo_Program28910111213141516171819202223242526272829303134353643[[#This Row],[J2 TOTAL]])+1</calculatedColumnFormula>
    </tableColumn>
    <tableColumn id="17" xr3:uid="{00000000-0010-0000-2400-000011000000}" name="Judge 3_x000a_Lucija Ljubičić" dataDxfId="248"/>
    <tableColumn id="35" xr3:uid="{00000000-0010-0000-2400-000023000000}" name="J3 (-)" dataDxfId="247"/>
    <tableColumn id="30" xr3:uid="{00000000-0010-0000-2400-00001E000000}" name="J3 TOTAL" dataDxfId="246">
      <calculatedColumnFormula>Twirling_Solo_Program28910111213141516171819202223242526272829303134353643[[#This Row],[Judge 3
Lucija Ljubičić]]-Q2</calculatedColumnFormula>
    </tableColumn>
    <tableColumn id="6" xr3:uid="{00000000-0010-0000-2400-000006000000}" name="J3 (Rank)" dataDxfId="245">
      <calculatedColumnFormula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Row],[Category]],Twirling_Solo_Program28910111213141516171819202223242526272829303134353643[J3 TOTAL],"&gt;"&amp;Twirling_Solo_Program28910111213141516171819202223242526272829303134353643[[#This Row],[J3 TOTAL]])+1</calculatedColumnFormula>
    </tableColumn>
    <tableColumn id="18" xr3:uid="{00000000-0010-0000-2400-000012000000}" name="Judge 4_x000a_Bernard Barač" dataDxfId="244"/>
    <tableColumn id="36" xr3:uid="{00000000-0010-0000-2400-000024000000}" name="J4 (-)" dataDxfId="243"/>
    <tableColumn id="31" xr3:uid="{00000000-0010-0000-2400-00001F000000}" name="J4 TOTAL" dataDxfId="242">
      <calculatedColumnFormula>Twirling_Solo_Program28910111213141516171819202223242526272829303134353643[[#This Row],[Judge 4
Bernard Barač]]-U2</calculatedColumnFormula>
    </tableColumn>
    <tableColumn id="7" xr3:uid="{00000000-0010-0000-2400-000007000000}" name="J4 (Rank)" dataDxfId="241">
      <calculatedColumnFormula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Row],[Category]],Twirling_Solo_Program28910111213141516171819202223242526272829303134353643[J4 TOTAL],"&gt;"&amp;Twirling_Solo_Program28910111213141516171819202223242526272829303134353643[[#This Row],[J4 TOTAL]])+1</calculatedColumnFormula>
    </tableColumn>
    <tableColumn id="20" xr3:uid="{00000000-0010-0000-2400-000014000000}" name="Total" dataDxfId="240">
      <calculatedColumnFormula>SUM(Twirling_Solo_Program28910111213141516171819202223242526272829303134353643[[#This Row],[J1 TOTAL]]+Twirling_Solo_Program28910111213141516171819202223242526272829303134353643[[#This Row],[J2 TOTAL]]+Twirling_Solo_Program28910111213141516171819202223242526272829303134353643[[#This Row],[J3 TOTAL]]+Twirling_Solo_Program28910111213141516171819202223242526272829303134353643[[#This Row],[J4 TOTAL]])</calculatedColumnFormula>
    </tableColumn>
    <tableColumn id="23" xr3:uid="{00000000-0010-0000-2400-000017000000}" name="Low" dataDxfId="239"/>
    <tableColumn id="19" xr3:uid="{00000000-0010-0000-2400-000013000000}" name="High" dataDxfId="238"/>
    <tableColumn id="25" xr3:uid="{00000000-0010-0000-2400-000019000000}" name="Final Total" dataDxfId="237">
      <calculatedColumnFormula>Twirling_Solo_Program28910111213141516171819202223242526272829303134353643[[#This Row],[Total]]</calculatedColumnFormula>
    </tableColumn>
    <tableColumn id="24" xr3:uid="{00000000-0010-0000-2400-000018000000}" name="Avg" dataDxfId="236">
      <calculatedColumnFormula>AVERAGE(H2,L2,P2,T2)</calculatedColumnFormula>
    </tableColumn>
    <tableColumn id="22" xr3:uid="{00000000-0010-0000-2400-000016000000}" name="FINAL SCORE" dataDxfId="235">
      <calculatedColumnFormula>Twirling_Solo_Program28910111213141516171819202223242526272829303134353643[[#This Row],[Final Total]]</calculatedColumnFormula>
    </tableColumn>
    <tableColumn id="27" xr3:uid="{00000000-0010-0000-2400-00001B000000}" name="Rank" dataDxfId="234">
      <calculatedColumnFormula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Row],[Category]],Twirling_Solo_Program28910111213141516171819202223242526272829303134353643[FINAL SCORE],"&gt;"&amp;Twirling_Solo_Program28910111213141516171819202223242526272829303134353643[[#This Row],[FINAL SCORE]])+1</calculatedColumnFormula>
    </tableColumn>
    <tableColumn id="39" xr3:uid="{00000000-0010-0000-2400-000027000000}" name="Category Type" dataDxfId="23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6000000}" name="Twirling_Solo_Program28910111213141516171819202223242526272829" displayName="Twirling_Solo_Program28910111213141516171819202223242526272829" ref="A1:AE2" totalsRowShown="0" headerRowDxfId="661" dataDxfId="660">
  <autoFilter ref="A1:AE2" xr:uid="{00000000-0009-0000-0100-00001C000000}"/>
  <tableColumns count="31">
    <tableColumn id="1" xr3:uid="{00000000-0010-0000-1600-000001000000}" name="Start No." dataDxfId="692"/>
    <tableColumn id="8" xr3:uid="{00000000-0010-0000-1600-000008000000}" name="Lane" dataDxfId="691"/>
    <tableColumn id="9" xr3:uid="{00000000-0010-0000-1600-000009000000}" name="Category" dataDxfId="690"/>
    <tableColumn id="32" xr3:uid="{00000000-0010-0000-1600-000020000000}" name="Age_x000a_Division" dataDxfId="689"/>
    <tableColumn id="4" xr3:uid="{00000000-0010-0000-1600-000004000000}" name="Athlete" dataDxfId="688"/>
    <tableColumn id="38" xr3:uid="{00000000-0010-0000-1600-000026000000}" name="Club" dataDxfId="687"/>
    <tableColumn id="37" xr3:uid="{00000000-0010-0000-1600-000025000000}" name="Country" dataDxfId="686"/>
    <tableColumn id="15" xr3:uid="{00000000-0010-0000-1600-00000F000000}" name="Judge 1_x000a_Tamara Beljak" dataDxfId="685"/>
    <tableColumn id="33" xr3:uid="{00000000-0010-0000-1600-000021000000}" name="J1 (-)" dataDxfId="684"/>
    <tableColumn id="26" xr3:uid="{00000000-0010-0000-1600-00001A000000}" name="J1 TOTAL" dataDxfId="683">
      <calculatedColumnFormula>Twirling_Solo_Program28910111213141516171819202223242526272829[[#This Row],[Judge 1
Tamara Beljak]]-I2</calculatedColumnFormula>
    </tableColumn>
    <tableColumn id="3" xr3:uid="{00000000-0010-0000-1600-000003000000}" name="J1 (Rank)" dataDxfId="682">
      <calculatedColumnFormula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Row],[Category]],Twirling_Solo_Program28910111213141516171819202223242526272829[J1 TOTAL],"&gt;"&amp;Twirling_Solo_Program28910111213141516171819202223242526272829[[#This Row],[J1 TOTAL]])+1</calculatedColumnFormula>
    </tableColumn>
    <tableColumn id="16" xr3:uid="{00000000-0010-0000-1600-000010000000}" name="Judge 2_x000a_Tihomir Bendelja" dataDxfId="681"/>
    <tableColumn id="34" xr3:uid="{00000000-0010-0000-1600-000022000000}" name="J2 (-)" dataDxfId="680"/>
    <tableColumn id="28" xr3:uid="{00000000-0010-0000-1600-00001C000000}" name="J2 TOTAL" dataDxfId="679">
      <calculatedColumnFormula>Twirling_Solo_Program28910111213141516171819202223242526272829[[#This Row],[Judge 2
Tihomir Bendelja]]-Twirling_Solo_Program28910111213141516171819202223242526272829[[#This Row],[J2 (-)]]</calculatedColumnFormula>
    </tableColumn>
    <tableColumn id="5" xr3:uid="{00000000-0010-0000-1600-000005000000}" name="J2 (Rank)" dataDxfId="678">
      <calculatedColumnFormula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Row],[Category]],Twirling_Solo_Program28910111213141516171819202223242526272829[J2 TOTAL],"&gt;"&amp;Twirling_Solo_Program28910111213141516171819202223242526272829[[#This Row],[J2 TOTAL]])+1</calculatedColumnFormula>
    </tableColumn>
    <tableColumn id="17" xr3:uid="{00000000-0010-0000-1600-000011000000}" name="Judge 3_x000a_Lucija Ljubičić" dataDxfId="677"/>
    <tableColumn id="35" xr3:uid="{00000000-0010-0000-1600-000023000000}" name="J3 (-)" dataDxfId="676"/>
    <tableColumn id="30" xr3:uid="{00000000-0010-0000-1600-00001E000000}" name="J3 TOTAL" dataDxfId="675">
      <calculatedColumnFormula>Twirling_Solo_Program28910111213141516171819202223242526272829[[#This Row],[Judge 3
Lucija Ljubičić]]-Q2</calculatedColumnFormula>
    </tableColumn>
    <tableColumn id="6" xr3:uid="{00000000-0010-0000-1600-000006000000}" name="J3 (Rank)" dataDxfId="674">
      <calculatedColumnFormula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Row],[Category]],Twirling_Solo_Program28910111213141516171819202223242526272829[J3 TOTAL],"&gt;"&amp;Twirling_Solo_Program28910111213141516171819202223242526272829[[#This Row],[J3 TOTAL]])+1</calculatedColumnFormula>
    </tableColumn>
    <tableColumn id="18" xr3:uid="{00000000-0010-0000-1600-000012000000}" name="Judge 4_x000a_Bernard Barač" dataDxfId="673"/>
    <tableColumn id="36" xr3:uid="{00000000-0010-0000-1600-000024000000}" name="J4 (-)" dataDxfId="672"/>
    <tableColumn id="31" xr3:uid="{00000000-0010-0000-1600-00001F000000}" name="J4 TOTAL" dataDxfId="671">
      <calculatedColumnFormula>Twirling_Solo_Program28910111213141516171819202223242526272829[[#This Row],[Judge 4
Bernard Barač]]-U2</calculatedColumnFormula>
    </tableColumn>
    <tableColumn id="7" xr3:uid="{00000000-0010-0000-1600-000007000000}" name="J4 (Rank)" dataDxfId="670">
      <calculatedColumnFormula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Row],[Category]],Twirling_Solo_Program28910111213141516171819202223242526272829[J4 TOTAL],"&gt;"&amp;Twirling_Solo_Program28910111213141516171819202223242526272829[[#This Row],[J4 TOTAL]])+1</calculatedColumnFormula>
    </tableColumn>
    <tableColumn id="20" xr3:uid="{00000000-0010-0000-1600-000014000000}" name="Total" dataDxfId="669">
      <calculatedColumnFormula>SUM(Twirling_Solo_Program28910111213141516171819202223242526272829[[#This Row],[J1 TOTAL]]+Twirling_Solo_Program28910111213141516171819202223242526272829[[#This Row],[J2 TOTAL]]+Twirling_Solo_Program28910111213141516171819202223242526272829[[#This Row],[J3 TOTAL]]+Twirling_Solo_Program28910111213141516171819202223242526272829[[#This Row],[J4 TOTAL]])</calculatedColumnFormula>
    </tableColumn>
    <tableColumn id="23" xr3:uid="{00000000-0010-0000-1600-000017000000}" name="Low" dataDxfId="668"/>
    <tableColumn id="19" xr3:uid="{00000000-0010-0000-1600-000013000000}" name="High" dataDxfId="667"/>
    <tableColumn id="25" xr3:uid="{00000000-0010-0000-1600-000019000000}" name="Final Total" dataDxfId="666">
      <calculatedColumnFormula>SUM(Twirling_Solo_Program28910111213141516171819202223242526272829[[#This Row],[Total]]-Twirling_Solo_Program28910111213141516171819202223242526272829[[#This Row],[Low]]-Twirling_Solo_Program28910111213141516171819202223242526272829[[#This Row],[High]])</calculatedColumnFormula>
    </tableColumn>
    <tableColumn id="24" xr3:uid="{00000000-0010-0000-1600-000018000000}" name="Avg" dataDxfId="665">
      <calculatedColumnFormula>AVERAGE(H2,L2,P2,T2)</calculatedColumnFormula>
    </tableColumn>
    <tableColumn id="22" xr3:uid="{00000000-0010-0000-1600-000016000000}" name="FINAL SCORE" dataDxfId="664">
      <calculatedColumnFormula>Twirling_Solo_Program28910111213141516171819202223242526272829[[#This Row],[Final Total]]</calculatedColumnFormula>
    </tableColumn>
    <tableColumn id="27" xr3:uid="{00000000-0010-0000-1600-00001B000000}" name="Rank" dataDxfId="663">
      <calculatedColumnFormula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Row],[Category]],Twirling_Solo_Program28910111213141516171819202223242526272829[FINAL SCORE],"&gt;"&amp;Twirling_Solo_Program28910111213141516171819202223242526272829[[#This Row],[FINAL SCORE]])+1</calculatedColumnFormula>
    </tableColumn>
    <tableColumn id="39" xr3:uid="{00000000-0010-0000-1600-000027000000}" name="Category Type" dataDxfId="66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Twirling_Solo_Program289101112131415161718" displayName="Twirling_Solo_Program289101112131415161718" ref="A1:AE3" totalsRowShown="0" headerRowDxfId="991" dataDxfId="990">
  <autoFilter ref="A1:AE3" xr:uid="{00000000-0009-0000-0100-000011000000}"/>
  <sortState xmlns:xlrd2="http://schemas.microsoft.com/office/spreadsheetml/2017/richdata2" ref="A2:AE3">
    <sortCondition ref="AD2:AD3"/>
  </sortState>
  <tableColumns count="31">
    <tableColumn id="1" xr3:uid="{00000000-0010-0000-0C00-000001000000}" name="Start No." dataDxfId="1022"/>
    <tableColumn id="8" xr3:uid="{00000000-0010-0000-0C00-000008000000}" name="Lane" dataDxfId="1021"/>
    <tableColumn id="9" xr3:uid="{00000000-0010-0000-0C00-000009000000}" name="Category" dataDxfId="1020"/>
    <tableColumn id="32" xr3:uid="{00000000-0010-0000-0C00-000020000000}" name="Age_x000a_Division" dataDxfId="1019"/>
    <tableColumn id="4" xr3:uid="{00000000-0010-0000-0C00-000004000000}" name="Athlete" dataDxfId="1018"/>
    <tableColumn id="38" xr3:uid="{00000000-0010-0000-0C00-000026000000}" name="Club" dataDxfId="1017"/>
    <tableColumn id="37" xr3:uid="{00000000-0010-0000-0C00-000025000000}" name="Country" dataDxfId="1016"/>
    <tableColumn id="15" xr3:uid="{00000000-0010-0000-0C00-00000F000000}" name="Judge 1_x000a_Tamara Beljak" dataDxfId="1015"/>
    <tableColumn id="33" xr3:uid="{00000000-0010-0000-0C00-000021000000}" name="J1 (-)" dataDxfId="1014"/>
    <tableColumn id="26" xr3:uid="{00000000-0010-0000-0C00-00001A000000}" name="J1 TOTAL" dataDxfId="1013">
      <calculatedColumnFormula>Twirling_Solo_Program289101112131415161718[[#This Row],[Judge 1
Tamara Beljak]]-I2</calculatedColumnFormula>
    </tableColumn>
    <tableColumn id="3" xr3:uid="{00000000-0010-0000-0C00-000003000000}" name="J1 (Rank)" dataDxfId="1012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calculatedColumnFormula>
    </tableColumn>
    <tableColumn id="16" xr3:uid="{00000000-0010-0000-0C00-000010000000}" name="Judge 2_x000a_Tihomir Bendelja" dataDxfId="1011"/>
    <tableColumn id="34" xr3:uid="{00000000-0010-0000-0C00-000022000000}" name="J2 (-)" dataDxfId="1010"/>
    <tableColumn id="28" xr3:uid="{00000000-0010-0000-0C00-00001C000000}" name="J2 TOTAL" dataDxfId="1009">
      <calculatedColumnFormula>Twirling_Solo_Program289101112131415161718[[#This Row],[Judge 2
Tihomir Bendelja]]-Twirling_Solo_Program289101112131415161718[[#This Row],[J2 (-)]]</calculatedColumnFormula>
    </tableColumn>
    <tableColumn id="5" xr3:uid="{00000000-0010-0000-0C00-000005000000}" name="J2 (Rank)" dataDxfId="1008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calculatedColumnFormula>
    </tableColumn>
    <tableColumn id="17" xr3:uid="{00000000-0010-0000-0C00-000011000000}" name="Judge 3_x000a_Lucija Ljubičić" dataDxfId="1007"/>
    <tableColumn id="35" xr3:uid="{00000000-0010-0000-0C00-000023000000}" name="J3 (-)" dataDxfId="1006"/>
    <tableColumn id="30" xr3:uid="{00000000-0010-0000-0C00-00001E000000}" name="J3 TOTAL" dataDxfId="1005">
      <calculatedColumnFormula>Twirling_Solo_Program289101112131415161718[[#This Row],[Judge 3
Lucija Ljubičić]]-Q2</calculatedColumnFormula>
    </tableColumn>
    <tableColumn id="6" xr3:uid="{00000000-0010-0000-0C00-000006000000}" name="J3 (Rank)" dataDxfId="1004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calculatedColumnFormula>
    </tableColumn>
    <tableColumn id="18" xr3:uid="{00000000-0010-0000-0C00-000012000000}" name="Judge 4_x000a_Bernard Barač" dataDxfId="1003"/>
    <tableColumn id="36" xr3:uid="{00000000-0010-0000-0C00-000024000000}" name="J4 (-)" dataDxfId="1002"/>
    <tableColumn id="31" xr3:uid="{00000000-0010-0000-0C00-00001F000000}" name="J4 TOTAL" dataDxfId="1001">
      <calculatedColumnFormula>Twirling_Solo_Program289101112131415161718[[#This Row],[Judge 4
Bernard Barač]]-U2</calculatedColumnFormula>
    </tableColumn>
    <tableColumn id="7" xr3:uid="{00000000-0010-0000-0C00-000007000000}" name="J4 (Rank)" dataDxfId="1000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calculatedColumnFormula>
    </tableColumn>
    <tableColumn id="20" xr3:uid="{00000000-0010-0000-0C00-000014000000}" name="Total" dataDxfId="999">
      <calculatedColumnFormula>SUM(Twirling_Solo_Program289101112131415161718[[#This Row],[J1 TOTAL]]+Twirling_Solo_Program289101112131415161718[[#This Row],[J2 TOTAL]]+Twirling_Solo_Program289101112131415161718[[#This Row],[J3 TOTAL]]+Twirling_Solo_Program289101112131415161718[[#This Row],[J4 TOTAL]])</calculatedColumnFormula>
    </tableColumn>
    <tableColumn id="23" xr3:uid="{00000000-0010-0000-0C00-000017000000}" name="Low" dataDxfId="998"/>
    <tableColumn id="19" xr3:uid="{00000000-0010-0000-0C00-000013000000}" name="High" dataDxfId="997"/>
    <tableColumn id="25" xr3:uid="{00000000-0010-0000-0C00-000019000000}" name="Final Total" dataDxfId="996">
      <calculatedColumnFormula>SUM(Twirling_Solo_Program289101112131415161718[[#This Row],[Total]]-Twirling_Solo_Program289101112131415161718[[#This Row],[Low]]-Twirling_Solo_Program289101112131415161718[[#This Row],[High]])</calculatedColumnFormula>
    </tableColumn>
    <tableColumn id="24" xr3:uid="{00000000-0010-0000-0C00-000018000000}" name="Avg" dataDxfId="995">
      <calculatedColumnFormula>AVERAGE(H2,L2,P2,T2)</calculatedColumnFormula>
    </tableColumn>
    <tableColumn id="22" xr3:uid="{00000000-0010-0000-0C00-000016000000}" name="FINAL SCORE" dataDxfId="994">
      <calculatedColumnFormula>Twirling_Solo_Program289101112131415161718[[#This Row],[Final Total]]</calculatedColumnFormula>
    </tableColumn>
    <tableColumn id="27" xr3:uid="{00000000-0010-0000-0C00-00001B000000}" name="Rank" dataDxfId="993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calculatedColumnFormula>
    </tableColumn>
    <tableColumn id="39" xr3:uid="{00000000-0010-0000-0C00-000027000000}" name="Category Type" dataDxfId="99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1000000}" name="Twirling_Solo_Program2891011121314151617181920222324" displayName="Twirling_Solo_Program2891011121314151617181920222324" ref="A1:AE11" totalsRowShown="0" headerRowDxfId="826" dataDxfId="825">
  <autoFilter ref="A1:AE11" xr:uid="{00000000-0009-0000-0100-000017000000}"/>
  <sortState xmlns:xlrd2="http://schemas.microsoft.com/office/spreadsheetml/2017/richdata2" ref="A2:AE11">
    <sortCondition ref="AD2:AD11"/>
  </sortState>
  <tableColumns count="31">
    <tableColumn id="1" xr3:uid="{00000000-0010-0000-1100-000001000000}" name="Start No." dataDxfId="857"/>
    <tableColumn id="8" xr3:uid="{00000000-0010-0000-1100-000008000000}" name="Lane" dataDxfId="856"/>
    <tableColumn id="9" xr3:uid="{00000000-0010-0000-1100-000009000000}" name="Category" dataDxfId="855"/>
    <tableColumn id="32" xr3:uid="{00000000-0010-0000-1100-000020000000}" name="Age_x000a_Division" dataDxfId="854"/>
    <tableColumn id="4" xr3:uid="{00000000-0010-0000-1100-000004000000}" name="Athlete" dataDxfId="853"/>
    <tableColumn id="38" xr3:uid="{00000000-0010-0000-1100-000026000000}" name="Club" dataDxfId="852"/>
    <tableColumn id="37" xr3:uid="{00000000-0010-0000-1100-000025000000}" name="Country" dataDxfId="851"/>
    <tableColumn id="15" xr3:uid="{00000000-0010-0000-1100-00000F000000}" name="Judge 1_x000a_Tamara Beljak" dataDxfId="850"/>
    <tableColumn id="33" xr3:uid="{00000000-0010-0000-1100-000021000000}" name="J1 (-)" dataDxfId="849"/>
    <tableColumn id="26" xr3:uid="{00000000-0010-0000-1100-00001A000000}" name="J1 TOTAL" dataDxfId="848">
      <calculatedColumnFormula>Twirling_Solo_Program2891011121314151617181920222324[[#This Row],[Judge 1
Tamara Beljak]]-I2</calculatedColumnFormula>
    </tableColumn>
    <tableColumn id="3" xr3:uid="{00000000-0010-0000-1100-000003000000}" name="J1 (Rank)" dataDxfId="847">
      <calculatedColumnFormula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calculatedColumnFormula>
    </tableColumn>
    <tableColumn id="16" xr3:uid="{00000000-0010-0000-1100-000010000000}" name="Judge 2_x000a_Tihomir Bendelja" dataDxfId="846"/>
    <tableColumn id="34" xr3:uid="{00000000-0010-0000-1100-000022000000}" name="J2 (-)" dataDxfId="845"/>
    <tableColumn id="28" xr3:uid="{00000000-0010-0000-1100-00001C000000}" name="J2 TOTAL" dataDxfId="844">
      <calculatedColumnFormula>Twirling_Solo_Program2891011121314151617181920222324[[#This Row],[Judge 2
Tihomir Bendelja]]-Twirling_Solo_Program2891011121314151617181920222324[[#This Row],[J2 (-)]]</calculatedColumnFormula>
    </tableColumn>
    <tableColumn id="5" xr3:uid="{00000000-0010-0000-1100-000005000000}" name="J2 (Rank)" dataDxfId="843">
      <calculatedColumnFormula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calculatedColumnFormula>
    </tableColumn>
    <tableColumn id="17" xr3:uid="{00000000-0010-0000-1100-000011000000}" name="Judge 3_x000a_Lucija Ljubičić" dataDxfId="842"/>
    <tableColumn id="35" xr3:uid="{00000000-0010-0000-1100-000023000000}" name="J3 (-)" dataDxfId="841"/>
    <tableColumn id="30" xr3:uid="{00000000-0010-0000-1100-00001E000000}" name="J3 TOTAL" dataDxfId="840">
      <calculatedColumnFormula>Twirling_Solo_Program2891011121314151617181920222324[[#This Row],[Judge 3
Lucija Ljubičić]]-Q2</calculatedColumnFormula>
    </tableColumn>
    <tableColumn id="6" xr3:uid="{00000000-0010-0000-1100-000006000000}" name="J3 (Rank)" dataDxfId="839">
      <calculatedColumnFormula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calculatedColumnFormula>
    </tableColumn>
    <tableColumn id="18" xr3:uid="{00000000-0010-0000-1100-000012000000}" name="Judge 4_x000a_Bernard Barač" dataDxfId="838"/>
    <tableColumn id="36" xr3:uid="{00000000-0010-0000-1100-000024000000}" name="J4 (-)" dataDxfId="837"/>
    <tableColumn id="31" xr3:uid="{00000000-0010-0000-1100-00001F000000}" name="J4 TOTAL" dataDxfId="836">
      <calculatedColumnFormula>Twirling_Solo_Program2891011121314151617181920222324[[#This Row],[Judge 4
Bernard Barač]]-U2</calculatedColumnFormula>
    </tableColumn>
    <tableColumn id="7" xr3:uid="{00000000-0010-0000-1100-000007000000}" name="J4 (Rank)" dataDxfId="835">
      <calculatedColumnFormula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calculatedColumnFormula>
    </tableColumn>
    <tableColumn id="20" xr3:uid="{00000000-0010-0000-1100-000014000000}" name="Total" dataDxfId="834">
      <calculatedColumnFormula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calculatedColumnFormula>
    </tableColumn>
    <tableColumn id="23" xr3:uid="{00000000-0010-0000-1100-000017000000}" name="Low" dataDxfId="833"/>
    <tableColumn id="19" xr3:uid="{00000000-0010-0000-1100-000013000000}" name="High" dataDxfId="832"/>
    <tableColumn id="25" xr3:uid="{00000000-0010-0000-1100-000019000000}" name="Final Total" dataDxfId="831">
      <calculatedColumnFormula>SUM(Twirling_Solo_Program2891011121314151617181920222324[[#This Row],[Total]]-Twirling_Solo_Program2891011121314151617181920222324[[#This Row],[Low]]-Twirling_Solo_Program2891011121314151617181920222324[[#This Row],[High]])</calculatedColumnFormula>
    </tableColumn>
    <tableColumn id="24" xr3:uid="{00000000-0010-0000-1100-000018000000}" name="Avg" dataDxfId="830">
      <calculatedColumnFormula>AVERAGE(H2,L2,P2,T2)</calculatedColumnFormula>
    </tableColumn>
    <tableColumn id="22" xr3:uid="{00000000-0010-0000-1100-000016000000}" name="FINAL SCORE" dataDxfId="829">
      <calculatedColumnFormula>Twirling_Solo_Program2891011121314151617181920222324[[#This Row],[Final Total]]</calculatedColumnFormula>
    </tableColumn>
    <tableColumn id="27" xr3:uid="{00000000-0010-0000-1100-00001B000000}" name="Rank" dataDxfId="828">
      <calculatedColumnFormula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calculatedColumnFormula>
    </tableColumn>
    <tableColumn id="39" xr3:uid="{00000000-0010-0000-1100-000027000000}" name="Category Type" dataDxfId="82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D000000}" name="Twirling_Solo_Program289101112131415161718192022232425262728293031343536" displayName="Twirling_Solo_Program289101112131415161718192022232425262728293031343536" ref="A1:AE2" totalsRowShown="0" headerRowDxfId="463" dataDxfId="462">
  <autoFilter ref="A1:AE2" xr:uid="{00000000-0009-0000-0100-000023000000}"/>
  <tableColumns count="31">
    <tableColumn id="1" xr3:uid="{00000000-0010-0000-1D00-000001000000}" name="Start No." dataDxfId="494"/>
    <tableColumn id="8" xr3:uid="{00000000-0010-0000-1D00-000008000000}" name="Lane" dataDxfId="493"/>
    <tableColumn id="9" xr3:uid="{00000000-0010-0000-1D00-000009000000}" name="Category" dataDxfId="492"/>
    <tableColumn id="32" xr3:uid="{00000000-0010-0000-1D00-000020000000}" name="Age_x000a_Division" dataDxfId="491"/>
    <tableColumn id="4" xr3:uid="{00000000-0010-0000-1D00-000004000000}" name="Athlete" dataDxfId="490"/>
    <tableColumn id="38" xr3:uid="{00000000-0010-0000-1D00-000026000000}" name="Club" dataDxfId="489"/>
    <tableColumn id="37" xr3:uid="{00000000-0010-0000-1D00-000025000000}" name="Country" dataDxfId="488"/>
    <tableColumn id="15" xr3:uid="{00000000-0010-0000-1D00-00000F000000}" name="Judge 1_x000a_Tamara Beljak" dataDxfId="487"/>
    <tableColumn id="33" xr3:uid="{00000000-0010-0000-1D00-000021000000}" name="J1 (-)" dataDxfId="486"/>
    <tableColumn id="26" xr3:uid="{00000000-0010-0000-1D00-00001A000000}" name="J1 TOTAL" dataDxfId="485">
      <calculatedColumnFormula>Twirling_Solo_Program289101112131415161718192022232425262728293031343536[[#This Row],[Judge 1
Tamara Beljak]]-I2</calculatedColumnFormula>
    </tableColumn>
    <tableColumn id="3" xr3:uid="{00000000-0010-0000-1D00-000003000000}" name="J1 (Rank)" dataDxfId="484">
      <calculatedColumnFormula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Row],[Category]],Twirling_Solo_Program289101112131415161718192022232425262728293031343536[J1 TOTAL],"&gt;"&amp;Twirling_Solo_Program289101112131415161718192022232425262728293031343536[[#This Row],[J1 TOTAL]])+1</calculatedColumnFormula>
    </tableColumn>
    <tableColumn id="16" xr3:uid="{00000000-0010-0000-1D00-000010000000}" name="Judge 2_x000a_Tihomir Bendelja" dataDxfId="483"/>
    <tableColumn id="34" xr3:uid="{00000000-0010-0000-1D00-000022000000}" name="J2 (-)" dataDxfId="482"/>
    <tableColumn id="28" xr3:uid="{00000000-0010-0000-1D00-00001C000000}" name="J2 TOTAL" dataDxfId="481">
      <calculatedColumnFormula>Twirling_Solo_Program289101112131415161718192022232425262728293031343536[[#This Row],[Judge 2
Tihomir Bendelja]]-Twirling_Solo_Program289101112131415161718192022232425262728293031343536[[#This Row],[J2 (-)]]</calculatedColumnFormula>
    </tableColumn>
    <tableColumn id="5" xr3:uid="{00000000-0010-0000-1D00-000005000000}" name="J2 (Rank)" dataDxfId="480">
      <calculatedColumnFormula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Row],[Category]],Twirling_Solo_Program289101112131415161718192022232425262728293031343536[J2 TOTAL],"&gt;"&amp;Twirling_Solo_Program289101112131415161718192022232425262728293031343536[[#This Row],[J2 TOTAL]])+1</calculatedColumnFormula>
    </tableColumn>
    <tableColumn id="17" xr3:uid="{00000000-0010-0000-1D00-000011000000}" name="Judge 3_x000a_Lucija Ljubičić" dataDxfId="479"/>
    <tableColumn id="35" xr3:uid="{00000000-0010-0000-1D00-000023000000}" name="J3 (-)" dataDxfId="478"/>
    <tableColumn id="30" xr3:uid="{00000000-0010-0000-1D00-00001E000000}" name="J3 TOTAL" dataDxfId="477">
      <calculatedColumnFormula>Twirling_Solo_Program289101112131415161718192022232425262728293031343536[[#This Row],[Judge 3
Lucija Ljubičić]]-Q2</calculatedColumnFormula>
    </tableColumn>
    <tableColumn id="6" xr3:uid="{00000000-0010-0000-1D00-000006000000}" name="J3 (Rank)" dataDxfId="476">
      <calculatedColumnFormula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Row],[Category]],Twirling_Solo_Program289101112131415161718192022232425262728293031343536[J3 TOTAL],"&gt;"&amp;Twirling_Solo_Program289101112131415161718192022232425262728293031343536[[#This Row],[J3 TOTAL]])+1</calculatedColumnFormula>
    </tableColumn>
    <tableColumn id="18" xr3:uid="{00000000-0010-0000-1D00-000012000000}" name="Judge 4_x000a_Bernard Barač" dataDxfId="475"/>
    <tableColumn id="36" xr3:uid="{00000000-0010-0000-1D00-000024000000}" name="J4 (-)" dataDxfId="474"/>
    <tableColumn id="31" xr3:uid="{00000000-0010-0000-1D00-00001F000000}" name="J4 TOTAL" dataDxfId="473">
      <calculatedColumnFormula>Twirling_Solo_Program289101112131415161718192022232425262728293031343536[[#This Row],[Judge 4
Bernard Barač]]-U2</calculatedColumnFormula>
    </tableColumn>
    <tableColumn id="7" xr3:uid="{00000000-0010-0000-1D00-000007000000}" name="J4 (Rank)" dataDxfId="472">
      <calculatedColumnFormula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Row],[Category]],Twirling_Solo_Program289101112131415161718192022232425262728293031343536[J4 TOTAL],"&gt;"&amp;Twirling_Solo_Program289101112131415161718192022232425262728293031343536[[#This Row],[J4 TOTAL]])+1</calculatedColumnFormula>
    </tableColumn>
    <tableColumn id="20" xr3:uid="{00000000-0010-0000-1D00-000014000000}" name="Total" dataDxfId="471">
      <calculatedColumnFormula>SUM(Twirling_Solo_Program289101112131415161718192022232425262728293031343536[[#This Row],[J1 TOTAL]]+Twirling_Solo_Program289101112131415161718192022232425262728293031343536[[#This Row],[J2 TOTAL]]+Twirling_Solo_Program289101112131415161718192022232425262728293031343536[[#This Row],[J3 TOTAL]]+Twirling_Solo_Program289101112131415161718192022232425262728293031343536[[#This Row],[J4 TOTAL]])</calculatedColumnFormula>
    </tableColumn>
    <tableColumn id="23" xr3:uid="{00000000-0010-0000-1D00-000017000000}" name="Low" dataDxfId="470"/>
    <tableColumn id="19" xr3:uid="{00000000-0010-0000-1D00-000013000000}" name="High" dataDxfId="469"/>
    <tableColumn id="25" xr3:uid="{00000000-0010-0000-1D00-000019000000}" name="Final Total" dataDxfId="468">
      <calculatedColumnFormula>Twirling_Solo_Program289101112131415161718192022232425262728293031343536[[#This Row],[Total]]</calculatedColumnFormula>
    </tableColumn>
    <tableColumn id="24" xr3:uid="{00000000-0010-0000-1D00-000018000000}" name="Avg" dataDxfId="467">
      <calculatedColumnFormula>AVERAGE(H2,L2,P2,T2)</calculatedColumnFormula>
    </tableColumn>
    <tableColumn id="22" xr3:uid="{00000000-0010-0000-1D00-000016000000}" name="FINAL SCORE" dataDxfId="466">
      <calculatedColumnFormula>Twirling_Solo_Program289101112131415161718192022232425262728293031343536[[#This Row],[Final Total]]</calculatedColumnFormula>
    </tableColumn>
    <tableColumn id="27" xr3:uid="{00000000-0010-0000-1D00-00001B000000}" name="Rank" dataDxfId="465">
      <calculatedColumnFormula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Row],[Category]],Twirling_Solo_Program289101112131415161718192022232425262728293031343536[FINAL SCORE],"&gt;"&amp;Twirling_Solo_Program289101112131415161718192022232425262728293031343536[[#This Row],[FINAL SCORE]])+1</calculatedColumnFormula>
    </tableColumn>
    <tableColumn id="39" xr3:uid="{00000000-0010-0000-1D00-000027000000}" name="Category Type" dataDxfId="46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F000000}" name="Twirling_Solo_Program289101112131415161718192022" displayName="Twirling_Solo_Program289101112131415161718192022" ref="A1:AE2" totalsRowShown="0" headerRowDxfId="892" dataDxfId="891">
  <autoFilter ref="A1:AE2" xr:uid="{00000000-0009-0000-0100-000015000000}"/>
  <tableColumns count="31">
    <tableColumn id="1" xr3:uid="{00000000-0010-0000-0F00-000001000000}" name="Start No." dataDxfId="923"/>
    <tableColumn id="8" xr3:uid="{00000000-0010-0000-0F00-000008000000}" name="Lane" dataDxfId="922"/>
    <tableColumn id="9" xr3:uid="{00000000-0010-0000-0F00-000009000000}" name="Category" dataDxfId="921"/>
    <tableColumn id="32" xr3:uid="{00000000-0010-0000-0F00-000020000000}" name="Age_x000a_Division" dataDxfId="920"/>
    <tableColumn id="4" xr3:uid="{00000000-0010-0000-0F00-000004000000}" name="Athlete" dataDxfId="919"/>
    <tableColumn id="38" xr3:uid="{00000000-0010-0000-0F00-000026000000}" name="Club" dataDxfId="918"/>
    <tableColumn id="37" xr3:uid="{00000000-0010-0000-0F00-000025000000}" name="Country" dataDxfId="917"/>
    <tableColumn id="15" xr3:uid="{00000000-0010-0000-0F00-00000F000000}" name="Judge 1_x000a_Tamara Beljak" dataDxfId="916"/>
    <tableColumn id="33" xr3:uid="{00000000-0010-0000-0F00-000021000000}" name="J1 (-)" dataDxfId="915"/>
    <tableColumn id="26" xr3:uid="{00000000-0010-0000-0F00-00001A000000}" name="J1 TOTAL" dataDxfId="914">
      <calculatedColumnFormula>Twirling_Solo_Program289101112131415161718192022[[#This Row],[Judge 1
Tamara Beljak]]-I2</calculatedColumnFormula>
    </tableColumn>
    <tableColumn id="3" xr3:uid="{00000000-0010-0000-0F00-000003000000}" name="J1 (Rank)" dataDxfId="913">
      <calculatedColumnFormula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Row],[Category]],Twirling_Solo_Program289101112131415161718192022[J1 TOTAL],"&gt;"&amp;Twirling_Solo_Program289101112131415161718192022[[#This Row],[J1 TOTAL]])+1</calculatedColumnFormula>
    </tableColumn>
    <tableColumn id="16" xr3:uid="{00000000-0010-0000-0F00-000010000000}" name="Judge 2_x000a_Tihomir Bendelja" dataDxfId="912"/>
    <tableColumn id="34" xr3:uid="{00000000-0010-0000-0F00-000022000000}" name="J2 (-)" dataDxfId="911"/>
    <tableColumn id="28" xr3:uid="{00000000-0010-0000-0F00-00001C000000}" name="J2 TOTAL" dataDxfId="910">
      <calculatedColumnFormula>Twirling_Solo_Program289101112131415161718192022[[#This Row],[Judge 2
Tihomir Bendelja]]-Twirling_Solo_Program289101112131415161718192022[[#This Row],[J2 (-)]]</calculatedColumnFormula>
    </tableColumn>
    <tableColumn id="5" xr3:uid="{00000000-0010-0000-0F00-000005000000}" name="J2 (Rank)" dataDxfId="909">
      <calculatedColumnFormula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Row],[Category]],Twirling_Solo_Program289101112131415161718192022[J2 TOTAL],"&gt;"&amp;Twirling_Solo_Program289101112131415161718192022[[#This Row],[J2 TOTAL]])+1</calculatedColumnFormula>
    </tableColumn>
    <tableColumn id="17" xr3:uid="{00000000-0010-0000-0F00-000011000000}" name="Judge 3_x000a_Lucija Ljubičić" dataDxfId="908"/>
    <tableColumn id="35" xr3:uid="{00000000-0010-0000-0F00-000023000000}" name="J3 (-)" dataDxfId="907"/>
    <tableColumn id="30" xr3:uid="{00000000-0010-0000-0F00-00001E000000}" name="J3 TOTAL" dataDxfId="906">
      <calculatedColumnFormula>Twirling_Solo_Program289101112131415161718192022[[#This Row],[Judge 3
Lucija Ljubičić]]-Q2</calculatedColumnFormula>
    </tableColumn>
    <tableColumn id="6" xr3:uid="{00000000-0010-0000-0F00-000006000000}" name="J3 (Rank)" dataDxfId="905">
      <calculatedColumnFormula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Row],[Category]],Twirling_Solo_Program289101112131415161718192022[J3 TOTAL],"&gt;"&amp;Twirling_Solo_Program289101112131415161718192022[[#This Row],[J3 TOTAL]])+1</calculatedColumnFormula>
    </tableColumn>
    <tableColumn id="18" xr3:uid="{00000000-0010-0000-0F00-000012000000}" name="Judge 4_x000a_Bernard Barač" dataDxfId="904"/>
    <tableColumn id="36" xr3:uid="{00000000-0010-0000-0F00-000024000000}" name="J4 (-)" dataDxfId="903"/>
    <tableColumn id="31" xr3:uid="{00000000-0010-0000-0F00-00001F000000}" name="J4 TOTAL" dataDxfId="902">
      <calculatedColumnFormula>Twirling_Solo_Program289101112131415161718192022[[#This Row],[Judge 4
Bernard Barač]]-U2</calculatedColumnFormula>
    </tableColumn>
    <tableColumn id="7" xr3:uid="{00000000-0010-0000-0F00-000007000000}" name="J4 (Rank)" dataDxfId="901">
      <calculatedColumnFormula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Row],[Category]],Twirling_Solo_Program289101112131415161718192022[J4 TOTAL],"&gt;"&amp;Twirling_Solo_Program289101112131415161718192022[[#This Row],[J4 TOTAL]])+1</calculatedColumnFormula>
    </tableColumn>
    <tableColumn id="20" xr3:uid="{00000000-0010-0000-0F00-000014000000}" name="Total" dataDxfId="900">
      <calculatedColumnFormula>SUM(Twirling_Solo_Program289101112131415161718192022[[#This Row],[J1 TOTAL]]+Twirling_Solo_Program289101112131415161718192022[[#This Row],[J2 TOTAL]]+Twirling_Solo_Program289101112131415161718192022[[#This Row],[J3 TOTAL]]+Twirling_Solo_Program289101112131415161718192022[[#This Row],[J4 TOTAL]])</calculatedColumnFormula>
    </tableColumn>
    <tableColumn id="23" xr3:uid="{00000000-0010-0000-0F00-000017000000}" name="Low" dataDxfId="899"/>
    <tableColumn id="19" xr3:uid="{00000000-0010-0000-0F00-000013000000}" name="High" dataDxfId="898"/>
    <tableColumn id="25" xr3:uid="{00000000-0010-0000-0F00-000019000000}" name="Final Total" dataDxfId="897">
      <calculatedColumnFormula>SUM(Twirling_Solo_Program289101112131415161718192022[[#This Row],[Total]]-Twirling_Solo_Program289101112131415161718192022[[#This Row],[Low]]-Twirling_Solo_Program289101112131415161718192022[[#This Row],[High]])</calculatedColumnFormula>
    </tableColumn>
    <tableColumn id="24" xr3:uid="{00000000-0010-0000-0F00-000018000000}" name="Avg" dataDxfId="896">
      <calculatedColumnFormula>AVERAGE(H2,L2,P2,T2)</calculatedColumnFormula>
    </tableColumn>
    <tableColumn id="22" xr3:uid="{00000000-0010-0000-0F00-000016000000}" name="FINAL SCORE" dataDxfId="895">
      <calculatedColumnFormula>Twirling_Solo_Program289101112131415161718192022[[#This Row],[Final Total]]</calculatedColumnFormula>
    </tableColumn>
    <tableColumn id="27" xr3:uid="{00000000-0010-0000-0F00-00001B000000}" name="Rank" dataDxfId="894">
      <calculatedColumnFormula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Row],[Category]],Twirling_Solo_Program289101112131415161718192022[FINAL SCORE],"&gt;"&amp;Twirling_Solo_Program289101112131415161718192022[[#This Row],[FINAL SCORE]])+1</calculatedColumnFormula>
    </tableColumn>
    <tableColumn id="39" xr3:uid="{00000000-0010-0000-0F00-000027000000}" name="Category Type" dataDxfId="89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wirling_Solo_Program289" displayName="Twirling_Solo_Program289" ref="A1:AE2" totalsRowShown="0" headerRowDxfId="1288" dataDxfId="1287">
  <autoFilter ref="A1:AE2" xr:uid="{00000000-0009-0000-0100-000008000000}"/>
  <tableColumns count="31">
    <tableColumn id="1" xr3:uid="{00000000-0010-0000-0300-000001000000}" name="Start No." dataDxfId="1319"/>
    <tableColumn id="8" xr3:uid="{00000000-0010-0000-0300-000008000000}" name="Lane" dataDxfId="1318"/>
    <tableColumn id="9" xr3:uid="{00000000-0010-0000-0300-000009000000}" name="Category" dataDxfId="1317"/>
    <tableColumn id="32" xr3:uid="{00000000-0010-0000-0300-000020000000}" name="Age_x000a_Division" dataDxfId="1316"/>
    <tableColumn id="4" xr3:uid="{00000000-0010-0000-0300-000004000000}" name="Athlete" dataDxfId="1315"/>
    <tableColumn id="38" xr3:uid="{00000000-0010-0000-0300-000026000000}" name="Club" dataDxfId="1314"/>
    <tableColumn id="37" xr3:uid="{00000000-0010-0000-0300-000025000000}" name="Country" dataDxfId="1313"/>
    <tableColumn id="15" xr3:uid="{00000000-0010-0000-0300-00000F000000}" name="Judge 1_x000a_Tamara Beljak" dataDxfId="1312"/>
    <tableColumn id="33" xr3:uid="{00000000-0010-0000-0300-000021000000}" name="J1 (-)" dataDxfId="1311"/>
    <tableColumn id="26" xr3:uid="{00000000-0010-0000-0300-00001A000000}" name="J1 TOTAL" dataDxfId="1310">
      <calculatedColumnFormula>Twirling_Solo_Program289[[#This Row],[Judge 1
Tamara Beljak]]-I2</calculatedColumnFormula>
    </tableColumn>
    <tableColumn id="3" xr3:uid="{00000000-0010-0000-0300-000003000000}" name="J1 (Rank)" dataDxfId="1309">
      <calculatedColumnFormula>COUNTIFS(Twirling_Solo_Program289[Age
Division],Twirling_Solo_Program289[[#This Row],[Age
Division]],Twirling_Solo_Program289[Category],Twirling_Solo_Program289[[#This Row],[Category]],Twirling_Solo_Program289[J1 TOTAL],"&gt;"&amp;Twirling_Solo_Program289[[#This Row],[J1 TOTAL]])+1</calculatedColumnFormula>
    </tableColumn>
    <tableColumn id="16" xr3:uid="{00000000-0010-0000-0300-000010000000}" name="Judge 2_x000a_Tihomir Bendelja" dataDxfId="1308"/>
    <tableColumn id="34" xr3:uid="{00000000-0010-0000-0300-000022000000}" name="J2 (-)" dataDxfId="1307"/>
    <tableColumn id="28" xr3:uid="{00000000-0010-0000-0300-00001C000000}" name="J2 TOTAL" dataDxfId="1306">
      <calculatedColumnFormula>Twirling_Solo_Program289[[#This Row],[Judge 2
Tihomir Bendelja]]-Twirling_Solo_Program289[[#This Row],[J2 (-)]]</calculatedColumnFormula>
    </tableColumn>
    <tableColumn id="5" xr3:uid="{00000000-0010-0000-0300-000005000000}" name="J2 (Rank)" dataDxfId="1305">
      <calculatedColumnFormula>COUNTIFS(Twirling_Solo_Program289[Age
Division],Twirling_Solo_Program289[[#This Row],[Age
Division]],Twirling_Solo_Program289[Category],Twirling_Solo_Program289[[#This Row],[Category]],Twirling_Solo_Program289[J2 TOTAL],"&gt;"&amp;Twirling_Solo_Program289[[#This Row],[J2 TOTAL]])+1</calculatedColumnFormula>
    </tableColumn>
    <tableColumn id="17" xr3:uid="{00000000-0010-0000-0300-000011000000}" name="Judge 3_x000a_Lucija Ljubičić" dataDxfId="1304"/>
    <tableColumn id="35" xr3:uid="{00000000-0010-0000-0300-000023000000}" name="J3 (-)" dataDxfId="1303"/>
    <tableColumn id="30" xr3:uid="{00000000-0010-0000-0300-00001E000000}" name="J3 TOTAL" dataDxfId="1302">
      <calculatedColumnFormula>Twirling_Solo_Program289[[#This Row],[Judge 3
Lucija Ljubičić]]-Q2</calculatedColumnFormula>
    </tableColumn>
    <tableColumn id="6" xr3:uid="{00000000-0010-0000-0300-000006000000}" name="J3 (Rank)" dataDxfId="1301">
      <calculatedColumnFormula>COUNTIFS(Twirling_Solo_Program289[Age
Division],Twirling_Solo_Program289[[#This Row],[Age
Division]],Twirling_Solo_Program289[Category],Twirling_Solo_Program289[[#This Row],[Category]],Twirling_Solo_Program289[J3 TOTAL],"&gt;"&amp;Twirling_Solo_Program289[[#This Row],[J3 TOTAL]])+1</calculatedColumnFormula>
    </tableColumn>
    <tableColumn id="18" xr3:uid="{00000000-0010-0000-0300-000012000000}" name="Judge 4_x000a_Bernard Barač" dataDxfId="1300"/>
    <tableColumn id="36" xr3:uid="{00000000-0010-0000-0300-000024000000}" name="J4 (-)" dataDxfId="1299"/>
    <tableColumn id="31" xr3:uid="{00000000-0010-0000-0300-00001F000000}" name="J4 TOTAL" dataDxfId="1298">
      <calculatedColumnFormula>Twirling_Solo_Program289[[#This Row],[Judge 4
Bernard Barač]]-U2</calculatedColumnFormula>
    </tableColumn>
    <tableColumn id="7" xr3:uid="{00000000-0010-0000-0300-000007000000}" name="J4 (Rank)" dataDxfId="1297">
      <calculatedColumnFormula>COUNTIFS(Twirling_Solo_Program289[Age
Division],Twirling_Solo_Program289[[#This Row],[Age
Division]],Twirling_Solo_Program289[Category],Twirling_Solo_Program289[[#This Row],[Category]],Twirling_Solo_Program289[J4 TOTAL],"&gt;"&amp;Twirling_Solo_Program289[[#This Row],[J4 TOTAL]])+1</calculatedColumnFormula>
    </tableColumn>
    <tableColumn id="20" xr3:uid="{00000000-0010-0000-0300-000014000000}" name="Total" dataDxfId="1296">
      <calculatedColumnFormula>SUM(Twirling_Solo_Program289[[#This Row],[J1 TOTAL]]+Twirling_Solo_Program289[[#This Row],[J2 TOTAL]]+Twirling_Solo_Program289[[#This Row],[J3 TOTAL]]+Twirling_Solo_Program289[[#This Row],[J4 TOTAL]])</calculatedColumnFormula>
    </tableColumn>
    <tableColumn id="23" xr3:uid="{00000000-0010-0000-0300-000017000000}" name="Low" dataDxfId="1295">
      <calculatedColumnFormula>MIN(Twirling_Solo_Program289[[#This Row],[J1 TOTAL]],Twirling_Solo_Program289[[#This Row],[J2 TOTAL]],Twirling_Solo_Program289[[#This Row],[J3 TOTAL]],Twirling_Solo_Program289[[#This Row],[J4 TOTAL]])</calculatedColumnFormula>
    </tableColumn>
    <tableColumn id="19" xr3:uid="{00000000-0010-0000-0300-000013000000}" name="High" dataDxfId="1294">
      <calculatedColumnFormula>MAX(Twirling_Solo_Program289[[#This Row],[J1 TOTAL]],Twirling_Solo_Program289[[#This Row],[J2 TOTAL]],Twirling_Solo_Program289[[#This Row],[J3 TOTAL]],Twirling_Solo_Program289[[#This Row],[J4 TOTAL]])</calculatedColumnFormula>
    </tableColumn>
    <tableColumn id="25" xr3:uid="{00000000-0010-0000-0300-000019000000}" name="Final Total" dataDxfId="1293">
      <calculatedColumnFormula>SUM(Twirling_Solo_Program289[[#This Row],[Total]]-Twirling_Solo_Program289[[#This Row],[Low]]-Twirling_Solo_Program289[[#This Row],[High]])</calculatedColumnFormula>
    </tableColumn>
    <tableColumn id="24" xr3:uid="{00000000-0010-0000-0300-000018000000}" name="Avg" dataDxfId="1292">
      <calculatedColumnFormula>AVERAGE(H2,L2,P2,T2)</calculatedColumnFormula>
    </tableColumn>
    <tableColumn id="22" xr3:uid="{00000000-0010-0000-0300-000016000000}" name="FINAL SCORE" dataDxfId="1291">
      <calculatedColumnFormula>Twirling_Solo_Program289[[#This Row],[Final Total]]</calculatedColumnFormula>
    </tableColumn>
    <tableColumn id="27" xr3:uid="{00000000-0010-0000-0300-00001B000000}" name="Rank" dataDxfId="1290">
      <calculatedColumnFormula>COUNTIFS(Twirling_Solo_Program289[Age
Division],Twirling_Solo_Program289[[#This Row],[Age
Division]],Twirling_Solo_Program289[Category],Twirling_Solo_Program289[[#This Row],[Category]],Twirling_Solo_Program289[FINAL SCORE],"&gt;"&amp;Twirling_Solo_Program289[[#This Row],[FINAL SCORE]])+1</calculatedColumnFormula>
    </tableColumn>
    <tableColumn id="39" xr3:uid="{00000000-0010-0000-0300-000027000000}" name="Category Type" dataDxfId="1289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wirling_Solo_Program28910" displayName="Twirling_Solo_Program28910" ref="A1:AE4" totalsRowShown="0" headerRowDxfId="1255" dataDxfId="1254">
  <autoFilter ref="A1:AE4" xr:uid="{00000000-0009-0000-0100-000009000000}"/>
  <sortState xmlns:xlrd2="http://schemas.microsoft.com/office/spreadsheetml/2017/richdata2" ref="A2:AE4">
    <sortCondition ref="AD2:AD4"/>
  </sortState>
  <tableColumns count="31">
    <tableColumn id="1" xr3:uid="{00000000-0010-0000-0400-000001000000}" name="Start No." dataDxfId="1286"/>
    <tableColumn id="8" xr3:uid="{00000000-0010-0000-0400-000008000000}" name="Lane" dataDxfId="1285"/>
    <tableColumn id="9" xr3:uid="{00000000-0010-0000-0400-000009000000}" name="Category" dataDxfId="1284"/>
    <tableColumn id="32" xr3:uid="{00000000-0010-0000-0400-000020000000}" name="Age_x000a_Division" dataDxfId="1283"/>
    <tableColumn id="4" xr3:uid="{00000000-0010-0000-0400-000004000000}" name="Athlete" dataDxfId="1282"/>
    <tableColumn id="38" xr3:uid="{00000000-0010-0000-0400-000026000000}" name="Club" dataDxfId="1281"/>
    <tableColumn id="37" xr3:uid="{00000000-0010-0000-0400-000025000000}" name="Country" dataDxfId="1280"/>
    <tableColumn id="15" xr3:uid="{00000000-0010-0000-0400-00000F000000}" name="Judge 1_x000a_Tamara Beljak" dataDxfId="1279"/>
    <tableColumn id="33" xr3:uid="{00000000-0010-0000-0400-000021000000}" name="J1 (-)" dataDxfId="1278"/>
    <tableColumn id="26" xr3:uid="{00000000-0010-0000-0400-00001A000000}" name="J1 TOTAL" dataDxfId="1277">
      <calculatedColumnFormula>Twirling_Solo_Program28910[[#This Row],[Judge 1
Tamara Beljak]]-I2</calculatedColumnFormula>
    </tableColumn>
    <tableColumn id="3" xr3:uid="{00000000-0010-0000-0400-000003000000}" name="J1 (Rank)" dataDxfId="1276">
      <calculatedColumnFormula>COUNTIFS(Twirling_Solo_Program28910[Age
Division],Twirling_Solo_Program28910[[#This Row],[Age
Division]],Twirling_Solo_Program28910[Category],Twirling_Solo_Program28910[[#This Row],[Category]],Twirling_Solo_Program28910[J1 TOTAL],"&gt;"&amp;Twirling_Solo_Program28910[[#This Row],[J1 TOTAL]])+1</calculatedColumnFormula>
    </tableColumn>
    <tableColumn id="16" xr3:uid="{00000000-0010-0000-0400-000010000000}" name="Judge 2_x000a_Tihomir Bendelja" dataDxfId="1275"/>
    <tableColumn id="34" xr3:uid="{00000000-0010-0000-0400-000022000000}" name="J2 (-)" dataDxfId="1274"/>
    <tableColumn id="28" xr3:uid="{00000000-0010-0000-0400-00001C000000}" name="J2 TOTAL" dataDxfId="1273">
      <calculatedColumnFormula>Twirling_Solo_Program28910[[#This Row],[Judge 2
Tihomir Bendelja]]-Twirling_Solo_Program28910[[#This Row],[J2 (-)]]</calculatedColumnFormula>
    </tableColumn>
    <tableColumn id="5" xr3:uid="{00000000-0010-0000-0400-000005000000}" name="J2 (Rank)" dataDxfId="1272">
      <calculatedColumnFormula>COUNTIFS(Twirling_Solo_Program28910[Age
Division],Twirling_Solo_Program28910[[#This Row],[Age
Division]],Twirling_Solo_Program28910[Category],Twirling_Solo_Program28910[[#This Row],[Category]],Twirling_Solo_Program28910[J2 TOTAL],"&gt;"&amp;Twirling_Solo_Program28910[[#This Row],[J2 TOTAL]])+1</calculatedColumnFormula>
    </tableColumn>
    <tableColumn id="17" xr3:uid="{00000000-0010-0000-0400-000011000000}" name="Judge 3_x000a_Lucija Ljubičić" dataDxfId="1271"/>
    <tableColumn id="35" xr3:uid="{00000000-0010-0000-0400-000023000000}" name="J3 (-)" dataDxfId="1270"/>
    <tableColumn id="30" xr3:uid="{00000000-0010-0000-0400-00001E000000}" name="J3 TOTAL" dataDxfId="1269">
      <calculatedColumnFormula>Twirling_Solo_Program28910[[#This Row],[Judge 3
Lucija Ljubičić]]-Q2</calculatedColumnFormula>
    </tableColumn>
    <tableColumn id="6" xr3:uid="{00000000-0010-0000-0400-000006000000}" name="J3 (Rank)" dataDxfId="1268">
      <calculatedColumnFormula>COUNTIFS(Twirling_Solo_Program28910[Age
Division],Twirling_Solo_Program28910[[#This Row],[Age
Division]],Twirling_Solo_Program28910[Category],Twirling_Solo_Program28910[[#This Row],[Category]],Twirling_Solo_Program28910[J3 TOTAL],"&gt;"&amp;Twirling_Solo_Program28910[[#This Row],[J3 TOTAL]])+1</calculatedColumnFormula>
    </tableColumn>
    <tableColumn id="18" xr3:uid="{00000000-0010-0000-0400-000012000000}" name="Judge 4_x000a_Bernard Barač" dataDxfId="1267"/>
    <tableColumn id="36" xr3:uid="{00000000-0010-0000-0400-000024000000}" name="J4 (-)" dataDxfId="1266"/>
    <tableColumn id="31" xr3:uid="{00000000-0010-0000-0400-00001F000000}" name="J4 TOTAL" dataDxfId="1265">
      <calculatedColumnFormula>Twirling_Solo_Program28910[[#This Row],[Judge 4
Bernard Barač]]-U2</calculatedColumnFormula>
    </tableColumn>
    <tableColumn id="7" xr3:uid="{00000000-0010-0000-0400-000007000000}" name="J4 (Rank)" dataDxfId="1264">
      <calculatedColumnFormula>COUNTIFS(Twirling_Solo_Program28910[Age
Division],Twirling_Solo_Program28910[[#This Row],[Age
Division]],Twirling_Solo_Program28910[Category],Twirling_Solo_Program28910[[#This Row],[Category]],Twirling_Solo_Program28910[J4 TOTAL],"&gt;"&amp;Twirling_Solo_Program28910[[#This Row],[J4 TOTAL]])+1</calculatedColumnFormula>
    </tableColumn>
    <tableColumn id="20" xr3:uid="{00000000-0010-0000-0400-000014000000}" name="Total" dataDxfId="1263">
      <calculatedColumnFormula>SUM(Twirling_Solo_Program28910[[#This Row],[J1 TOTAL]]+Twirling_Solo_Program28910[[#This Row],[J2 TOTAL]]+Twirling_Solo_Program28910[[#This Row],[J3 TOTAL]]+Twirling_Solo_Program28910[[#This Row],[J4 TOTAL]])</calculatedColumnFormula>
    </tableColumn>
    <tableColumn id="23" xr3:uid="{00000000-0010-0000-0400-000017000000}" name="Low" dataDxfId="1262">
      <calculatedColumnFormula>MIN(Twirling_Solo_Program28910[[#This Row],[J1 TOTAL]],Twirling_Solo_Program28910[[#This Row],[J2 TOTAL]],Twirling_Solo_Program28910[[#This Row],[J3 TOTAL]],Twirling_Solo_Program28910[[#This Row],[J4 TOTAL]])</calculatedColumnFormula>
    </tableColumn>
    <tableColumn id="19" xr3:uid="{00000000-0010-0000-0400-000013000000}" name="High" dataDxfId="1261">
      <calculatedColumnFormula>MAX(Twirling_Solo_Program28910[[#This Row],[J1 TOTAL]],Twirling_Solo_Program28910[[#This Row],[J2 TOTAL]],Twirling_Solo_Program28910[[#This Row],[J3 TOTAL]],Twirling_Solo_Program28910[[#This Row],[J4 TOTAL]])</calculatedColumnFormula>
    </tableColumn>
    <tableColumn id="25" xr3:uid="{00000000-0010-0000-0400-000019000000}" name="Final Total" dataDxfId="1260">
      <calculatedColumnFormula>SUM(Twirling_Solo_Program28910[[#This Row],[Total]]-Twirling_Solo_Program28910[[#This Row],[Low]]-Twirling_Solo_Program28910[[#This Row],[High]])</calculatedColumnFormula>
    </tableColumn>
    <tableColumn id="24" xr3:uid="{00000000-0010-0000-0400-000018000000}" name="Avg" dataDxfId="1259">
      <calculatedColumnFormula>AVERAGE(H2,L2,P2,T2)</calculatedColumnFormula>
    </tableColumn>
    <tableColumn id="22" xr3:uid="{00000000-0010-0000-0400-000016000000}" name="FINAL SCORE" dataDxfId="1258">
      <calculatedColumnFormula>Twirling_Solo_Program28910[[#This Row],[Final Total]]</calculatedColumnFormula>
    </tableColumn>
    <tableColumn id="27" xr3:uid="{00000000-0010-0000-0400-00001B000000}" name="Rank" dataDxfId="1257">
      <calculatedColumnFormula>COUNTIFS(Twirling_Solo_Program28910[Age
Division],Twirling_Solo_Program28910[[#This Row],[Age
Division]],Twirling_Solo_Program28910[Category],Twirling_Solo_Program28910[[#This Row],[Category]],Twirling_Solo_Program28910[FINAL SCORE],"&gt;"&amp;Twirling_Solo_Program28910[[#This Row],[FINAL SCORE]])+1</calculatedColumnFormula>
    </tableColumn>
    <tableColumn id="39" xr3:uid="{00000000-0010-0000-0400-000027000000}" name="Category Type" dataDxfId="125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wirling_Solo_Program2891011" displayName="Twirling_Solo_Program2891011" ref="A1:AE3" totalsRowShown="0" headerRowDxfId="1222" dataDxfId="1221">
  <sortState xmlns:xlrd2="http://schemas.microsoft.com/office/spreadsheetml/2017/richdata2" ref="A2:AE3">
    <sortCondition ref="AD2:AD3"/>
  </sortState>
  <tableColumns count="31">
    <tableColumn id="1" xr3:uid="{00000000-0010-0000-0500-000001000000}" name="Start No." dataDxfId="1253"/>
    <tableColumn id="8" xr3:uid="{00000000-0010-0000-0500-000008000000}" name="Lane" dataDxfId="1252"/>
    <tableColumn id="9" xr3:uid="{00000000-0010-0000-0500-000009000000}" name="Category" dataDxfId="1251"/>
    <tableColumn id="32" xr3:uid="{00000000-0010-0000-0500-000020000000}" name="Age_x000a_Division" dataDxfId="1250"/>
    <tableColumn id="4" xr3:uid="{00000000-0010-0000-0500-000004000000}" name="Athlete" dataDxfId="1249"/>
    <tableColumn id="38" xr3:uid="{00000000-0010-0000-0500-000026000000}" name="Club" dataDxfId="1248"/>
    <tableColumn id="37" xr3:uid="{00000000-0010-0000-0500-000025000000}" name="Country" dataDxfId="1247"/>
    <tableColumn id="15" xr3:uid="{00000000-0010-0000-0500-00000F000000}" name="Judge 1_x000a_Tamara Beljak" dataDxfId="1246"/>
    <tableColumn id="33" xr3:uid="{00000000-0010-0000-0500-000021000000}" name="J1 (-)" dataDxfId="1245"/>
    <tableColumn id="26" xr3:uid="{00000000-0010-0000-0500-00001A000000}" name="J1 TOTAL" dataDxfId="1244"/>
    <tableColumn id="3" xr3:uid="{00000000-0010-0000-0500-000003000000}" name="J1 (Rank)" dataDxfId="1243">
      <calculatedColumnFormula>COUNTIFS(Twirling_Solo_Program2891011[Age
Division],Twirling_Solo_Program2891011[[#This Row],[Age
Division]],Twirling_Solo_Program2891011[Category],Twirling_Solo_Program2891011[[#This Row],[Category]],Twirling_Solo_Program2891011[J1 TOTAL],"&gt;"&amp;Twirling_Solo_Program2891011[[#This Row],[J1 TOTAL]])+1</calculatedColumnFormula>
    </tableColumn>
    <tableColumn id="16" xr3:uid="{00000000-0010-0000-0500-000010000000}" name="Judge 2_x000a_Tihomir Bendelja" dataDxfId="1242"/>
    <tableColumn id="34" xr3:uid="{00000000-0010-0000-0500-000022000000}" name="J2 (-)" dataDxfId="1241"/>
    <tableColumn id="28" xr3:uid="{00000000-0010-0000-0500-00001C000000}" name="J2 TOTAL" dataDxfId="1240">
      <calculatedColumnFormula>Twirling_Solo_Program2891011[[#This Row],[Judge 2
Tihomir Bendelja]]-Twirling_Solo_Program2891011[[#This Row],[J2 (-)]]</calculatedColumnFormula>
    </tableColumn>
    <tableColumn id="5" xr3:uid="{00000000-0010-0000-0500-000005000000}" name="J2 (Rank)" dataDxfId="1239">
      <calculatedColumnFormula>COUNTIFS(Twirling_Solo_Program2891011[Age
Division],Twirling_Solo_Program2891011[[#This Row],[Age
Division]],Twirling_Solo_Program2891011[Category],Twirling_Solo_Program2891011[[#This Row],[Category]],Twirling_Solo_Program2891011[J2 TOTAL],"&gt;"&amp;Twirling_Solo_Program2891011[[#This Row],[J2 TOTAL]])+1</calculatedColumnFormula>
    </tableColumn>
    <tableColumn id="17" xr3:uid="{00000000-0010-0000-0500-000011000000}" name="Judge 3_x000a_Lucija Ljubičić" dataDxfId="1238"/>
    <tableColumn id="35" xr3:uid="{00000000-0010-0000-0500-000023000000}" name="J3 (-)" dataDxfId="1237"/>
    <tableColumn id="30" xr3:uid="{00000000-0010-0000-0500-00001E000000}" name="J3 TOTAL" dataDxfId="1236">
      <calculatedColumnFormula>Twirling_Solo_Program2891011[[#This Row],[Judge 3
Lucija Ljubičić]]-Q2</calculatedColumnFormula>
    </tableColumn>
    <tableColumn id="6" xr3:uid="{00000000-0010-0000-0500-000006000000}" name="J3 (Rank)" dataDxfId="1235">
      <calculatedColumnFormula>COUNTIFS(Twirling_Solo_Program2891011[Age
Division],Twirling_Solo_Program2891011[[#This Row],[Age
Division]],Twirling_Solo_Program2891011[Category],Twirling_Solo_Program2891011[[#This Row],[Category]],Twirling_Solo_Program2891011[J3 TOTAL],"&gt;"&amp;Twirling_Solo_Program2891011[[#This Row],[J3 TOTAL]])+1</calculatedColumnFormula>
    </tableColumn>
    <tableColumn id="18" xr3:uid="{00000000-0010-0000-0500-000012000000}" name="Judge 4_x000a_Bernard Barač" dataDxfId="1234"/>
    <tableColumn id="36" xr3:uid="{00000000-0010-0000-0500-000024000000}" name="J4 (-)" dataDxfId="1233"/>
    <tableColumn id="31" xr3:uid="{00000000-0010-0000-0500-00001F000000}" name="J4 TOTAL" dataDxfId="1232">
      <calculatedColumnFormula>Twirling_Solo_Program2891011[[#This Row],[Judge 4
Bernard Barač]]-U2</calculatedColumnFormula>
    </tableColumn>
    <tableColumn id="7" xr3:uid="{00000000-0010-0000-0500-000007000000}" name="J4 (Rank)" dataDxfId="1231">
      <calculatedColumnFormula>COUNTIFS(Twirling_Solo_Program2891011[Age
Division],Twirling_Solo_Program2891011[[#This Row],[Age
Division]],Twirling_Solo_Program2891011[Category],Twirling_Solo_Program2891011[[#This Row],[Category]],Twirling_Solo_Program2891011[J4 TOTAL],"&gt;"&amp;Twirling_Solo_Program2891011[[#This Row],[J4 TOTAL]])+1</calculatedColumnFormula>
    </tableColumn>
    <tableColumn id="20" xr3:uid="{00000000-0010-0000-0500-000014000000}" name="Total" dataDxfId="1230">
      <calculatedColumnFormula>SUM(Twirling_Solo_Program2891011[[#This Row],[J1 TOTAL]]+Twirling_Solo_Program2891011[[#This Row],[J2 TOTAL]]+Twirling_Solo_Program2891011[[#This Row],[J3 TOTAL]]+Twirling_Solo_Program2891011[[#This Row],[J4 TOTAL]])</calculatedColumnFormula>
    </tableColumn>
    <tableColumn id="23" xr3:uid="{00000000-0010-0000-0500-000017000000}" name="Low" dataDxfId="1229">
      <calculatedColumnFormula>MIN(Twirling_Solo_Program2891011[[#This Row],[J1 TOTAL]],Twirling_Solo_Program2891011[[#This Row],[J2 TOTAL]],Twirling_Solo_Program2891011[[#This Row],[J3 TOTAL]],Twirling_Solo_Program2891011[[#This Row],[J4 TOTAL]])</calculatedColumnFormula>
    </tableColumn>
    <tableColumn id="19" xr3:uid="{00000000-0010-0000-0500-000013000000}" name="High" dataDxfId="1228">
      <calculatedColumnFormula>MAX(Twirling_Solo_Program2891011[[#This Row],[J1 TOTAL]],Twirling_Solo_Program2891011[[#This Row],[J2 TOTAL]],Twirling_Solo_Program2891011[[#This Row],[J3 TOTAL]],Twirling_Solo_Program2891011[[#This Row],[J4 TOTAL]])</calculatedColumnFormula>
    </tableColumn>
    <tableColumn id="25" xr3:uid="{00000000-0010-0000-0500-000019000000}" name="Final Total" dataDxfId="1227">
      <calculatedColumnFormula>SUM(Twirling_Solo_Program2891011[[#This Row],[Total]]-Twirling_Solo_Program2891011[[#This Row],[Low]]-Twirling_Solo_Program2891011[[#This Row],[High]])</calculatedColumnFormula>
    </tableColumn>
    <tableColumn id="24" xr3:uid="{00000000-0010-0000-0500-000018000000}" name="Avg" dataDxfId="1226">
      <calculatedColumnFormula>AVERAGE(H2,L2,P2,T2)</calculatedColumnFormula>
    </tableColumn>
    <tableColumn id="22" xr3:uid="{00000000-0010-0000-0500-000016000000}" name="FINAL SCORE" dataDxfId="1225">
      <calculatedColumnFormula>Twirling_Solo_Program2891011[[#This Row],[Final Total]]</calculatedColumnFormula>
    </tableColumn>
    <tableColumn id="27" xr3:uid="{00000000-0010-0000-0500-00001B000000}" name="Rank" dataDxfId="1224">
      <calculatedColumnFormula>COUNTIFS(Twirling_Solo_Program2891011[Age
Division],Twirling_Solo_Program2891011[[#This Row],[Age
Division]],Twirling_Solo_Program2891011[Category],Twirling_Solo_Program2891011[[#This Row],[Category]],Twirling_Solo_Program2891011[FINAL SCORE],"&gt;"&amp;Twirling_Solo_Program2891011[[#This Row],[FINAL SCORE]])+1</calculatedColumnFormula>
    </tableColumn>
    <tableColumn id="39" xr3:uid="{00000000-0010-0000-0500-000027000000}" name="Category Type" dataDxfId="122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7000000}" name="Twirling_Solo_Program28910111213" displayName="Twirling_Solo_Program28910111213" ref="A1:AE2" totalsRowShown="0" headerRowDxfId="1156" dataDxfId="1155">
  <autoFilter ref="A1:AE2" xr:uid="{00000000-0009-0000-0100-00000C000000}"/>
  <tableColumns count="31">
    <tableColumn id="1" xr3:uid="{00000000-0010-0000-0700-000001000000}" name="Start No." dataDxfId="1187"/>
    <tableColumn id="8" xr3:uid="{00000000-0010-0000-0700-000008000000}" name="Lane" dataDxfId="1186"/>
    <tableColumn id="9" xr3:uid="{00000000-0010-0000-0700-000009000000}" name="Category" dataDxfId="1185"/>
    <tableColumn id="32" xr3:uid="{00000000-0010-0000-0700-000020000000}" name="Age_x000a_Division" dataDxfId="1184"/>
    <tableColumn id="4" xr3:uid="{00000000-0010-0000-0700-000004000000}" name="Athlete" dataDxfId="1183"/>
    <tableColumn id="38" xr3:uid="{00000000-0010-0000-0700-000026000000}" name="Club" dataDxfId="1182"/>
    <tableColumn id="37" xr3:uid="{00000000-0010-0000-0700-000025000000}" name="Country" dataDxfId="1181"/>
    <tableColumn id="15" xr3:uid="{00000000-0010-0000-0700-00000F000000}" name="Judge 1_x000a_Tamara Beljak" dataDxfId="1180"/>
    <tableColumn id="33" xr3:uid="{00000000-0010-0000-0700-000021000000}" name="J1 (-)" dataDxfId="1179"/>
    <tableColumn id="26" xr3:uid="{00000000-0010-0000-0700-00001A000000}" name="J1 TOTAL" dataDxfId="1178">
      <calculatedColumnFormula>Twirling_Solo_Program28910111213[[#This Row],[Judge 1
Tamara Beljak]]-I2</calculatedColumnFormula>
    </tableColumn>
    <tableColumn id="3" xr3:uid="{00000000-0010-0000-0700-000003000000}" name="J1 (Rank)" dataDxfId="1177">
      <calculatedColumnFormula>COUNTIFS(Twirling_Solo_Program28910111213[Age
Division],Twirling_Solo_Program28910111213[[#This Row],[Age
Division]],Twirling_Solo_Program28910111213[Category],Twirling_Solo_Program28910111213[[#This Row],[Category]],Twirling_Solo_Program28910111213[J1 TOTAL],"&gt;"&amp;Twirling_Solo_Program28910111213[[#This Row],[J1 TOTAL]])+1</calculatedColumnFormula>
    </tableColumn>
    <tableColumn id="16" xr3:uid="{00000000-0010-0000-0700-000010000000}" name="Judge 2_x000a_Tihomir Bendelja" dataDxfId="1176"/>
    <tableColumn id="34" xr3:uid="{00000000-0010-0000-0700-000022000000}" name="J2 (-)" dataDxfId="1175"/>
    <tableColumn id="28" xr3:uid="{00000000-0010-0000-0700-00001C000000}" name="J2 TOTAL" dataDxfId="1174">
      <calculatedColumnFormula>Twirling_Solo_Program28910111213[[#This Row],[Judge 2
Tihomir Bendelja]]-Twirling_Solo_Program28910111213[[#This Row],[J2 (-)]]</calculatedColumnFormula>
    </tableColumn>
    <tableColumn id="5" xr3:uid="{00000000-0010-0000-0700-000005000000}" name="J2 (Rank)" dataDxfId="1173">
      <calculatedColumnFormula>COUNTIFS(Twirling_Solo_Program28910111213[Age
Division],Twirling_Solo_Program28910111213[[#This Row],[Age
Division]],Twirling_Solo_Program28910111213[Category],Twirling_Solo_Program28910111213[[#This Row],[Category]],Twirling_Solo_Program28910111213[J2 TOTAL],"&gt;"&amp;Twirling_Solo_Program28910111213[[#This Row],[J2 TOTAL]])+1</calculatedColumnFormula>
    </tableColumn>
    <tableColumn id="17" xr3:uid="{00000000-0010-0000-0700-000011000000}" name="Judge 3_x000a_Lucija Ljubičić" dataDxfId="1172"/>
    <tableColumn id="35" xr3:uid="{00000000-0010-0000-0700-000023000000}" name="J3 (-)" dataDxfId="1171"/>
    <tableColumn id="30" xr3:uid="{00000000-0010-0000-0700-00001E000000}" name="J3 TOTAL" dataDxfId="1170">
      <calculatedColumnFormula>Twirling_Solo_Program28910111213[[#This Row],[Judge 3
Lucija Ljubičić]]-Q2</calculatedColumnFormula>
    </tableColumn>
    <tableColumn id="6" xr3:uid="{00000000-0010-0000-0700-000006000000}" name="J3 (Rank)" dataDxfId="1169">
      <calculatedColumnFormula>COUNTIFS(Twirling_Solo_Program28910111213[Age
Division],Twirling_Solo_Program28910111213[[#This Row],[Age
Division]],Twirling_Solo_Program28910111213[Category],Twirling_Solo_Program28910111213[[#This Row],[Category]],Twirling_Solo_Program28910111213[J3 TOTAL],"&gt;"&amp;Twirling_Solo_Program28910111213[[#This Row],[J3 TOTAL]])+1</calculatedColumnFormula>
    </tableColumn>
    <tableColumn id="18" xr3:uid="{00000000-0010-0000-0700-000012000000}" name="Judge 4_x000a_Bernard Barač" dataDxfId="1168"/>
    <tableColumn id="36" xr3:uid="{00000000-0010-0000-0700-000024000000}" name="J4 (-)" dataDxfId="1167"/>
    <tableColumn id="31" xr3:uid="{00000000-0010-0000-0700-00001F000000}" name="J4 TOTAL" dataDxfId="1166">
      <calculatedColumnFormula>Twirling_Solo_Program28910111213[[#This Row],[Judge 4
Bernard Barač]]-U2</calculatedColumnFormula>
    </tableColumn>
    <tableColumn id="7" xr3:uid="{00000000-0010-0000-0700-000007000000}" name="J4 (Rank)" dataDxfId="1165">
      <calculatedColumnFormula>COUNTIFS(Twirling_Solo_Program28910111213[Age
Division],Twirling_Solo_Program28910111213[[#This Row],[Age
Division]],Twirling_Solo_Program28910111213[Category],Twirling_Solo_Program28910111213[[#This Row],[Category]],Twirling_Solo_Program28910111213[J4 TOTAL],"&gt;"&amp;Twirling_Solo_Program28910111213[[#This Row],[J4 TOTAL]])+1</calculatedColumnFormula>
    </tableColumn>
    <tableColumn id="20" xr3:uid="{00000000-0010-0000-0700-000014000000}" name="Total" dataDxfId="1164">
      <calculatedColumnFormula>SUM(Twirling_Solo_Program28910111213[[#This Row],[J1 TOTAL]]+Twirling_Solo_Program28910111213[[#This Row],[J2 TOTAL]]+Twirling_Solo_Program28910111213[[#This Row],[J3 TOTAL]]+Twirling_Solo_Program28910111213[[#This Row],[J4 TOTAL]])</calculatedColumnFormula>
    </tableColumn>
    <tableColumn id="23" xr3:uid="{00000000-0010-0000-0700-000017000000}" name="Low" dataDxfId="1163">
      <calculatedColumnFormula>MIN(Twirling_Solo_Program28910111213[[#This Row],[J1 TOTAL]],Twirling_Solo_Program28910111213[[#This Row],[J2 TOTAL]],Twirling_Solo_Program28910111213[[#This Row],[J3 TOTAL]],Twirling_Solo_Program28910111213[[#This Row],[J4 TOTAL]])</calculatedColumnFormula>
    </tableColumn>
    <tableColumn id="19" xr3:uid="{00000000-0010-0000-0700-000013000000}" name="High" dataDxfId="1162">
      <calculatedColumnFormula>MAX(Twirling_Solo_Program28910111213[[#This Row],[J1 TOTAL]],Twirling_Solo_Program28910111213[[#This Row],[J2 TOTAL]],Twirling_Solo_Program28910111213[[#This Row],[J3 TOTAL]],Twirling_Solo_Program28910111213[[#This Row],[J4 TOTAL]])</calculatedColumnFormula>
    </tableColumn>
    <tableColumn id="25" xr3:uid="{00000000-0010-0000-0700-000019000000}" name="Final Total" dataDxfId="1161">
      <calculatedColumnFormula>SUM(Twirling_Solo_Program28910111213[[#This Row],[Total]]-Twirling_Solo_Program28910111213[[#This Row],[Low]]-Twirling_Solo_Program28910111213[[#This Row],[High]])</calculatedColumnFormula>
    </tableColumn>
    <tableColumn id="24" xr3:uid="{00000000-0010-0000-0700-000018000000}" name="Avg" dataDxfId="1160">
      <calculatedColumnFormula>AVERAGE(H2,L2,P2,T2)</calculatedColumnFormula>
    </tableColumn>
    <tableColumn id="22" xr3:uid="{00000000-0010-0000-0700-000016000000}" name="FINAL SCORE" dataDxfId="1159">
      <calculatedColumnFormula>Twirling_Solo_Program28910111213[[#This Row],[Final Total]]</calculatedColumnFormula>
    </tableColumn>
    <tableColumn id="27" xr3:uid="{00000000-0010-0000-0700-00001B000000}" name="Rank" dataDxfId="1158">
      <calculatedColumnFormula>COUNTIFS(Twirling_Solo_Program28910111213[Age
Division],Twirling_Solo_Program28910111213[[#This Row],[Age
Division]],Twirling_Solo_Program28910111213[Category],Twirling_Solo_Program28910111213[[#This Row],[Category]],Twirling_Solo_Program28910111213[FINAL SCORE],"&gt;"&amp;Twirling_Solo_Program28910111213[[#This Row],[FINAL SCORE]])+1</calculatedColumnFormula>
    </tableColumn>
    <tableColumn id="39" xr3:uid="{00000000-0010-0000-0700-000027000000}" name="Category Type" dataDxfId="1157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wirling_Solo_Program289101112" displayName="Twirling_Solo_Program289101112" ref="A1:AE4" totalsRowShown="0" headerRowDxfId="1189" dataDxfId="1188">
  <autoFilter ref="A1:AE4" xr:uid="{00000000-000C-0000-FFFF-FFFF06000000}"/>
  <sortState xmlns:xlrd2="http://schemas.microsoft.com/office/spreadsheetml/2017/richdata2" ref="A2:AE4">
    <sortCondition ref="AD2:AD4"/>
  </sortState>
  <tableColumns count="31">
    <tableColumn id="1" xr3:uid="{00000000-0010-0000-0600-000001000000}" name="Start No." dataDxfId="1220"/>
    <tableColumn id="8" xr3:uid="{00000000-0010-0000-0600-000008000000}" name="Lane" dataDxfId="1219"/>
    <tableColumn id="9" xr3:uid="{00000000-0010-0000-0600-000009000000}" name="Category" dataDxfId="1218"/>
    <tableColumn id="32" xr3:uid="{00000000-0010-0000-0600-000020000000}" name="Age_x000a_Division" dataDxfId="1217"/>
    <tableColumn id="4" xr3:uid="{00000000-0010-0000-0600-000004000000}" name="Athlete" dataDxfId="1216"/>
    <tableColumn id="38" xr3:uid="{00000000-0010-0000-0600-000026000000}" name="Club" dataDxfId="1215"/>
    <tableColumn id="37" xr3:uid="{00000000-0010-0000-0600-000025000000}" name="Country" dataDxfId="1214"/>
    <tableColumn id="15" xr3:uid="{00000000-0010-0000-0600-00000F000000}" name="Judge 1_x000a_Tamara Beljak" dataDxfId="1213"/>
    <tableColumn id="33" xr3:uid="{00000000-0010-0000-0600-000021000000}" name="J1 (-)" dataDxfId="1212"/>
    <tableColumn id="26" xr3:uid="{00000000-0010-0000-0600-00001A000000}" name="J1 TOTAL" dataDxfId="1211">
      <calculatedColumnFormula>Twirling_Solo_Program289101112[[#This Row],[Judge 1
Tamara Beljak]]-I2</calculatedColumnFormula>
    </tableColumn>
    <tableColumn id="3" xr3:uid="{00000000-0010-0000-0600-000003000000}" name="J1 (Rank)" dataDxfId="1210">
      <calculatedColumnFormula>COUNTIFS(Twirling_Solo_Program289101112[Age
Division],Twirling_Solo_Program289101112[[#This Row],[Age
Division]],Twirling_Solo_Program289101112[Category],Twirling_Solo_Program289101112[[#This Row],[Category]],Twirling_Solo_Program289101112[J1 TOTAL],"&gt;"&amp;Twirling_Solo_Program289101112[[#This Row],[J1 TOTAL]])+1</calculatedColumnFormula>
    </tableColumn>
    <tableColumn id="16" xr3:uid="{00000000-0010-0000-0600-000010000000}" name="Judge 2_x000a_Tihomir Bendelja" dataDxfId="1209"/>
    <tableColumn id="34" xr3:uid="{00000000-0010-0000-0600-000022000000}" name="J2 (-)" dataDxfId="1208"/>
    <tableColumn id="28" xr3:uid="{00000000-0010-0000-0600-00001C000000}" name="J2 TOTAL" dataDxfId="1207">
      <calculatedColumnFormula>Twirling_Solo_Program289101112[[#This Row],[Judge 2
Tihomir Bendelja]]-Twirling_Solo_Program289101112[[#This Row],[J2 (-)]]</calculatedColumnFormula>
    </tableColumn>
    <tableColumn id="5" xr3:uid="{00000000-0010-0000-0600-000005000000}" name="J2 (Rank)" dataDxfId="1206">
      <calculatedColumnFormula>COUNTIFS(Twirling_Solo_Program289101112[Age
Division],Twirling_Solo_Program289101112[[#This Row],[Age
Division]],Twirling_Solo_Program289101112[Category],Twirling_Solo_Program289101112[[#This Row],[Category]],Twirling_Solo_Program289101112[J2 TOTAL],"&gt;"&amp;Twirling_Solo_Program289101112[[#This Row],[J2 TOTAL]])+1</calculatedColumnFormula>
    </tableColumn>
    <tableColumn id="17" xr3:uid="{00000000-0010-0000-0600-000011000000}" name="Judge 3_x000a_Lucija Ljubičić" dataDxfId="1205"/>
    <tableColumn id="35" xr3:uid="{00000000-0010-0000-0600-000023000000}" name="J3 (-)" dataDxfId="1204"/>
    <tableColumn id="30" xr3:uid="{00000000-0010-0000-0600-00001E000000}" name="J3 TOTAL" dataDxfId="1203">
      <calculatedColumnFormula>Twirling_Solo_Program289101112[[#This Row],[Judge 3
Lucija Ljubičić]]-Q2</calculatedColumnFormula>
    </tableColumn>
    <tableColumn id="6" xr3:uid="{00000000-0010-0000-0600-000006000000}" name="J3 (Rank)" dataDxfId="1202">
      <calculatedColumnFormula>COUNTIFS(Twirling_Solo_Program289101112[Age
Division],Twirling_Solo_Program289101112[[#This Row],[Age
Division]],Twirling_Solo_Program289101112[Category],Twirling_Solo_Program289101112[[#This Row],[Category]],Twirling_Solo_Program289101112[J3 TOTAL],"&gt;"&amp;Twirling_Solo_Program289101112[[#This Row],[J3 TOTAL]])+1</calculatedColumnFormula>
    </tableColumn>
    <tableColumn id="18" xr3:uid="{00000000-0010-0000-0600-000012000000}" name="Judge 4_x000a_Bernard Barač" dataDxfId="1201"/>
    <tableColumn id="36" xr3:uid="{00000000-0010-0000-0600-000024000000}" name="J4 (-)" dataDxfId="1200"/>
    <tableColumn id="31" xr3:uid="{00000000-0010-0000-0600-00001F000000}" name="J4 TOTAL" dataDxfId="1199">
      <calculatedColumnFormula>Twirling_Solo_Program289101112[[#This Row],[Judge 4
Bernard Barač]]-U2</calculatedColumnFormula>
    </tableColumn>
    <tableColumn id="7" xr3:uid="{00000000-0010-0000-0600-000007000000}" name="J4 (Rank)" dataDxfId="1198">
      <calculatedColumnFormula>COUNTIFS(Twirling_Solo_Program289101112[Age
Division],Twirling_Solo_Program289101112[[#This Row],[Age
Division]],Twirling_Solo_Program289101112[Category],Twirling_Solo_Program289101112[[#This Row],[Category]],Twirling_Solo_Program289101112[J4 TOTAL],"&gt;"&amp;Twirling_Solo_Program289101112[[#This Row],[J4 TOTAL]])+1</calculatedColumnFormula>
    </tableColumn>
    <tableColumn id="20" xr3:uid="{00000000-0010-0000-0600-000014000000}" name="Total" dataDxfId="1197">
      <calculatedColumnFormula>SUM(Twirling_Solo_Program289101112[[#This Row],[J1 TOTAL]]+Twirling_Solo_Program289101112[[#This Row],[J2 TOTAL]]+Twirling_Solo_Program289101112[[#This Row],[J3 TOTAL]]+Twirling_Solo_Program289101112[[#This Row],[J4 TOTAL]])</calculatedColumnFormula>
    </tableColumn>
    <tableColumn id="23" xr3:uid="{00000000-0010-0000-0600-000017000000}" name="Low" dataDxfId="1196">
      <calculatedColumnFormula>MIN(Twirling_Solo_Program289101112[[#This Row],[J1 TOTAL]],Twirling_Solo_Program289101112[[#This Row],[J2 TOTAL]],Twirling_Solo_Program289101112[[#This Row],[J3 TOTAL]],Twirling_Solo_Program289101112[[#This Row],[J4 TOTAL]])</calculatedColumnFormula>
    </tableColumn>
    <tableColumn id="19" xr3:uid="{00000000-0010-0000-0600-000013000000}" name="High" dataDxfId="1195">
      <calculatedColumnFormula>MAX(Twirling_Solo_Program289101112[[#This Row],[J1 TOTAL]],Twirling_Solo_Program289101112[[#This Row],[J2 TOTAL]],Twirling_Solo_Program289101112[[#This Row],[J3 TOTAL]],Twirling_Solo_Program289101112[[#This Row],[J4 TOTAL]])</calculatedColumnFormula>
    </tableColumn>
    <tableColumn id="25" xr3:uid="{00000000-0010-0000-0600-000019000000}" name="Final Total" dataDxfId="1194">
      <calculatedColumnFormula>SUM(Twirling_Solo_Program289101112[[#This Row],[Total]]-Twirling_Solo_Program289101112[[#This Row],[Low]]-Twirling_Solo_Program289101112[[#This Row],[High]])</calculatedColumnFormula>
    </tableColumn>
    <tableColumn id="24" xr3:uid="{00000000-0010-0000-0600-000018000000}" name="Avg" dataDxfId="1193">
      <calculatedColumnFormula>AVERAGE(H2,L2,P2,T2)</calculatedColumnFormula>
    </tableColumn>
    <tableColumn id="22" xr3:uid="{00000000-0010-0000-0600-000016000000}" name="FINAL SCORE" dataDxfId="1192">
      <calculatedColumnFormula>Twirling_Solo_Program289101112[[#This Row],[Final Total]]</calculatedColumnFormula>
    </tableColumn>
    <tableColumn id="27" xr3:uid="{00000000-0010-0000-0600-00001B000000}" name="Rank" dataDxfId="1191">
      <calculatedColumnFormula>COUNTIFS(Twirling_Solo_Program289101112[Age
Division],Twirling_Solo_Program289101112[[#This Row],[Age
Division]],Twirling_Solo_Program289101112[Category],Twirling_Solo_Program289101112[[#This Row],[Category]],Twirling_Solo_Program289101112[FINAL SCORE],"&gt;"&amp;Twirling_Solo_Program289101112[[#This Row],[FINAL SCORE]])+1</calculatedColumnFormula>
    </tableColumn>
    <tableColumn id="39" xr3:uid="{00000000-0010-0000-0600-000027000000}" name="Category Type" dataDxfId="1190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Twirling_Solo_Program2891011121314" displayName="Twirling_Solo_Program2891011121314" ref="A1:AE3" totalsRowShown="0" headerRowDxfId="1123" dataDxfId="1122">
  <autoFilter ref="A1:AE3" xr:uid="{00000000-0009-0000-0100-00000D000000}"/>
  <sortState xmlns:xlrd2="http://schemas.microsoft.com/office/spreadsheetml/2017/richdata2" ref="A2:AE3">
    <sortCondition ref="AD2:AD3"/>
  </sortState>
  <tableColumns count="31">
    <tableColumn id="1" xr3:uid="{00000000-0010-0000-0800-000001000000}" name="Start No." dataDxfId="1154"/>
    <tableColumn id="8" xr3:uid="{00000000-0010-0000-0800-000008000000}" name="Lane" dataDxfId="1153"/>
    <tableColumn id="9" xr3:uid="{00000000-0010-0000-0800-000009000000}" name="Category" dataDxfId="1152"/>
    <tableColumn id="32" xr3:uid="{00000000-0010-0000-0800-000020000000}" name="Age_x000a_Division" dataDxfId="1151"/>
    <tableColumn id="4" xr3:uid="{00000000-0010-0000-0800-000004000000}" name="Athlete" dataDxfId="1150"/>
    <tableColumn id="38" xr3:uid="{00000000-0010-0000-0800-000026000000}" name="Club" dataDxfId="1149"/>
    <tableColumn id="37" xr3:uid="{00000000-0010-0000-0800-000025000000}" name="Country" dataDxfId="1148"/>
    <tableColumn id="15" xr3:uid="{00000000-0010-0000-0800-00000F000000}" name="Judge 1_x000a_Tamara Beljak" dataDxfId="1147"/>
    <tableColumn id="33" xr3:uid="{00000000-0010-0000-0800-000021000000}" name="J1 (-)" dataDxfId="1146"/>
    <tableColumn id="26" xr3:uid="{00000000-0010-0000-0800-00001A000000}" name="J1 TOTAL" dataDxfId="1145">
      <calculatedColumnFormula>Twirling_Solo_Program2891011121314[[#This Row],[Judge 1
Tamara Beljak]]-I2</calculatedColumnFormula>
    </tableColumn>
    <tableColumn id="3" xr3:uid="{00000000-0010-0000-0800-000003000000}" name="J1 (Rank)" dataDxfId="1144">
      <calculatedColumnFormula>COUNTIFS(Twirling_Solo_Program2891011121314[Age
Division],Twirling_Solo_Program2891011121314[[#This Row],[Age
Division]],Twirling_Solo_Program2891011121314[Category],Twirling_Solo_Program2891011121314[[#This Row],[Category]],Twirling_Solo_Program2891011121314[J1 TOTAL],"&gt;"&amp;Twirling_Solo_Program2891011121314[[#This Row],[J1 TOTAL]])+1</calculatedColumnFormula>
    </tableColumn>
    <tableColumn id="16" xr3:uid="{00000000-0010-0000-0800-000010000000}" name="Judge 2_x000a_Tihomir Bendelja" dataDxfId="1143"/>
    <tableColumn id="34" xr3:uid="{00000000-0010-0000-0800-000022000000}" name="J2 (-)" dataDxfId="1142"/>
    <tableColumn id="28" xr3:uid="{00000000-0010-0000-0800-00001C000000}" name="J2 TOTAL" dataDxfId="1141">
      <calculatedColumnFormula>Twirling_Solo_Program2891011121314[[#This Row],[Judge 2
Tihomir Bendelja]]-Twirling_Solo_Program2891011121314[[#This Row],[J2 (-)]]</calculatedColumnFormula>
    </tableColumn>
    <tableColumn id="5" xr3:uid="{00000000-0010-0000-0800-000005000000}" name="J2 (Rank)" dataDxfId="1140">
      <calculatedColumnFormula>COUNTIFS(Twirling_Solo_Program2891011121314[Age
Division],Twirling_Solo_Program2891011121314[[#This Row],[Age
Division]],Twirling_Solo_Program2891011121314[Category],Twirling_Solo_Program2891011121314[[#This Row],[Category]],Twirling_Solo_Program2891011121314[J2 TOTAL],"&gt;"&amp;Twirling_Solo_Program2891011121314[[#This Row],[J2 TOTAL]])+1</calculatedColumnFormula>
    </tableColumn>
    <tableColumn id="17" xr3:uid="{00000000-0010-0000-0800-000011000000}" name="Judge 3_x000a_Lucija Ljubičić" dataDxfId="1139"/>
    <tableColumn id="35" xr3:uid="{00000000-0010-0000-0800-000023000000}" name="J3 (-)" dataDxfId="1138"/>
    <tableColumn id="30" xr3:uid="{00000000-0010-0000-0800-00001E000000}" name="J3 TOTAL" dataDxfId="1137">
      <calculatedColumnFormula>Twirling_Solo_Program2891011121314[[#This Row],[Judge 3
Lucija Ljubičić]]-Q2</calculatedColumnFormula>
    </tableColumn>
    <tableColumn id="6" xr3:uid="{00000000-0010-0000-0800-000006000000}" name="J3 (Rank)" dataDxfId="1136">
      <calculatedColumnFormula>COUNTIFS(Twirling_Solo_Program2891011121314[Age
Division],Twirling_Solo_Program2891011121314[[#This Row],[Age
Division]],Twirling_Solo_Program2891011121314[Category],Twirling_Solo_Program2891011121314[[#This Row],[Category]],Twirling_Solo_Program2891011121314[J3 TOTAL],"&gt;"&amp;Twirling_Solo_Program2891011121314[[#This Row],[J3 TOTAL]])+1</calculatedColumnFormula>
    </tableColumn>
    <tableColumn id="18" xr3:uid="{00000000-0010-0000-0800-000012000000}" name="Judge 4_x000a_Bernard Barač" dataDxfId="1135"/>
    <tableColumn id="36" xr3:uid="{00000000-0010-0000-0800-000024000000}" name="J4 (-)" dataDxfId="1134"/>
    <tableColumn id="31" xr3:uid="{00000000-0010-0000-0800-00001F000000}" name="J4 TOTAL" dataDxfId="1133">
      <calculatedColumnFormula>Twirling_Solo_Program2891011121314[[#This Row],[Judge 4
Bernard Barač]]-U2</calculatedColumnFormula>
    </tableColumn>
    <tableColumn id="7" xr3:uid="{00000000-0010-0000-0800-000007000000}" name="J4 (Rank)" dataDxfId="1132">
      <calculatedColumnFormula>COUNTIFS(Twirling_Solo_Program2891011121314[Age
Division],Twirling_Solo_Program2891011121314[[#This Row],[Age
Division]],Twirling_Solo_Program2891011121314[Category],Twirling_Solo_Program2891011121314[[#This Row],[Category]],Twirling_Solo_Program2891011121314[J4 TOTAL],"&gt;"&amp;Twirling_Solo_Program2891011121314[[#This Row],[J4 TOTAL]])+1</calculatedColumnFormula>
    </tableColumn>
    <tableColumn id="20" xr3:uid="{00000000-0010-0000-0800-000014000000}" name="Total" dataDxfId="1131">
      <calculatedColumnFormula>SUM(Twirling_Solo_Program2891011121314[[#This Row],[J1 TOTAL]]+Twirling_Solo_Program2891011121314[[#This Row],[J2 TOTAL]]+Twirling_Solo_Program2891011121314[[#This Row],[J3 TOTAL]]+Twirling_Solo_Program2891011121314[[#This Row],[J4 TOTAL]])</calculatedColumnFormula>
    </tableColumn>
    <tableColumn id="23" xr3:uid="{00000000-0010-0000-0800-000017000000}" name="Low" dataDxfId="1130">
      <calculatedColumnFormula>MIN(Twirling_Solo_Program2891011121314[[#This Row],[J1 TOTAL]],Twirling_Solo_Program2891011121314[[#This Row],[J2 TOTAL]],Twirling_Solo_Program2891011121314[[#This Row],[J3 TOTAL]],Twirling_Solo_Program2891011121314[[#This Row],[J4 TOTAL]])</calculatedColumnFormula>
    </tableColumn>
    <tableColumn id="19" xr3:uid="{00000000-0010-0000-0800-000013000000}" name="High" dataDxfId="1129">
      <calculatedColumnFormula>MAX(Twirling_Solo_Program2891011121314[[#This Row],[J1 TOTAL]],Twirling_Solo_Program2891011121314[[#This Row],[J2 TOTAL]],Twirling_Solo_Program2891011121314[[#This Row],[J3 TOTAL]],Twirling_Solo_Program2891011121314[[#This Row],[J4 TOTAL]])</calculatedColumnFormula>
    </tableColumn>
    <tableColumn id="25" xr3:uid="{00000000-0010-0000-0800-000019000000}" name="Final Total" dataDxfId="1128">
      <calculatedColumnFormula>SUM(Twirling_Solo_Program2891011121314[[#This Row],[Total]]-Twirling_Solo_Program2891011121314[[#This Row],[Low]]-Twirling_Solo_Program2891011121314[[#This Row],[High]])</calculatedColumnFormula>
    </tableColumn>
    <tableColumn id="24" xr3:uid="{00000000-0010-0000-0800-000018000000}" name="Avg" dataDxfId="1127">
      <calculatedColumnFormula>AVERAGE(H2,L2,P2,T2)</calculatedColumnFormula>
    </tableColumn>
    <tableColumn id="22" xr3:uid="{00000000-0010-0000-0800-000016000000}" name="FINAL SCORE" dataDxfId="1126">
      <calculatedColumnFormula>Twirling_Solo_Program2891011121314[[#This Row],[Final Total]]</calculatedColumnFormula>
    </tableColumn>
    <tableColumn id="27" xr3:uid="{00000000-0010-0000-0800-00001B000000}" name="Rank" dataDxfId="1125">
      <calculatedColumnFormula>COUNTIFS(Twirling_Solo_Program2891011121314[Age
Division],Twirling_Solo_Program2891011121314[[#This Row],[Age
Division]],Twirling_Solo_Program2891011121314[Category],Twirling_Solo_Program2891011121314[[#This Row],[Category]],Twirling_Solo_Program2891011121314[FINAL SCORE],"&gt;"&amp;Twirling_Solo_Program2891011121314[[#This Row],[FINAL SCORE]])+1</calculatedColumnFormula>
    </tableColumn>
    <tableColumn id="39" xr3:uid="{00000000-0010-0000-0800-000027000000}" name="Category Type" dataDxfId="1124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wirling_Solo_Program289101112131415" displayName="Twirling_Solo_Program289101112131415" ref="A1:AE2" totalsRowShown="0" headerRowDxfId="1090" dataDxfId="1089">
  <autoFilter ref="A1:AE2" xr:uid="{00000000-0009-0000-0100-00000E000000}"/>
  <tableColumns count="31">
    <tableColumn id="1" xr3:uid="{00000000-0010-0000-0900-000001000000}" name="Start No." dataDxfId="1121"/>
    <tableColumn id="8" xr3:uid="{00000000-0010-0000-0900-000008000000}" name="Lane" dataDxfId="1120"/>
    <tableColumn id="9" xr3:uid="{00000000-0010-0000-0900-000009000000}" name="Category" dataDxfId="1119"/>
    <tableColumn id="32" xr3:uid="{00000000-0010-0000-0900-000020000000}" name="Age_x000a_Division" dataDxfId="1118"/>
    <tableColumn id="4" xr3:uid="{00000000-0010-0000-0900-000004000000}" name="Athlete" dataDxfId="1117"/>
    <tableColumn id="38" xr3:uid="{00000000-0010-0000-0900-000026000000}" name="Club" dataDxfId="1116"/>
    <tableColumn id="37" xr3:uid="{00000000-0010-0000-0900-000025000000}" name="Country" dataDxfId="1115"/>
    <tableColumn id="15" xr3:uid="{00000000-0010-0000-0900-00000F000000}" name="Judge 1_x000a_Tamara Beljak" dataDxfId="1114"/>
    <tableColumn id="33" xr3:uid="{00000000-0010-0000-0900-000021000000}" name="J1 (-)" dataDxfId="1113"/>
    <tableColumn id="26" xr3:uid="{00000000-0010-0000-0900-00001A000000}" name="J1 TOTAL" dataDxfId="1112">
      <calculatedColumnFormula>Twirling_Solo_Program289101112131415[[#This Row],[Judge 1
Tamara Beljak]]-I2</calculatedColumnFormula>
    </tableColumn>
    <tableColumn id="3" xr3:uid="{00000000-0010-0000-0900-000003000000}" name="J1 (Rank)" dataDxfId="1111">
      <calculatedColumnFormula>COUNTIFS(Twirling_Solo_Program289101112131415[Age
Division],Twirling_Solo_Program289101112131415[[#This Row],[Age
Division]],Twirling_Solo_Program289101112131415[Category],Twirling_Solo_Program289101112131415[[#This Row],[Category]],Twirling_Solo_Program289101112131415[J1 TOTAL],"&gt;"&amp;Twirling_Solo_Program289101112131415[[#This Row],[J1 TOTAL]])+1</calculatedColumnFormula>
    </tableColumn>
    <tableColumn id="16" xr3:uid="{00000000-0010-0000-0900-000010000000}" name="Judge 2_x000a_Tihomir Bendelja" dataDxfId="1110"/>
    <tableColumn id="34" xr3:uid="{00000000-0010-0000-0900-000022000000}" name="J2 (-)" dataDxfId="1109"/>
    <tableColumn id="28" xr3:uid="{00000000-0010-0000-0900-00001C000000}" name="J2 TOTAL" dataDxfId="1108">
      <calculatedColumnFormula>Twirling_Solo_Program289101112131415[[#This Row],[Judge 2
Tihomir Bendelja]]-Twirling_Solo_Program289101112131415[[#This Row],[J2 (-)]]</calculatedColumnFormula>
    </tableColumn>
    <tableColumn id="5" xr3:uid="{00000000-0010-0000-0900-000005000000}" name="J2 (Rank)" dataDxfId="1107">
      <calculatedColumnFormula>COUNTIFS(Twirling_Solo_Program289101112131415[Age
Division],Twirling_Solo_Program289101112131415[[#This Row],[Age
Division]],Twirling_Solo_Program289101112131415[Category],Twirling_Solo_Program289101112131415[[#This Row],[Category]],Twirling_Solo_Program289101112131415[J2 TOTAL],"&gt;"&amp;Twirling_Solo_Program289101112131415[[#This Row],[J2 TOTAL]])+1</calculatedColumnFormula>
    </tableColumn>
    <tableColumn id="17" xr3:uid="{00000000-0010-0000-0900-000011000000}" name="Judge 3_x000a_Lucija Ljubičić" dataDxfId="1106"/>
    <tableColumn id="35" xr3:uid="{00000000-0010-0000-0900-000023000000}" name="J3 (-)" dataDxfId="1105"/>
    <tableColumn id="30" xr3:uid="{00000000-0010-0000-0900-00001E000000}" name="J3 TOTAL" dataDxfId="1104">
      <calculatedColumnFormula>Twirling_Solo_Program289101112131415[[#This Row],[Judge 3
Lucija Ljubičić]]-Q2</calculatedColumnFormula>
    </tableColumn>
    <tableColumn id="6" xr3:uid="{00000000-0010-0000-0900-000006000000}" name="J3 (Rank)" dataDxfId="1103">
      <calculatedColumnFormula>COUNTIFS(Twirling_Solo_Program289101112131415[Age
Division],Twirling_Solo_Program289101112131415[[#This Row],[Age
Division]],Twirling_Solo_Program289101112131415[Category],Twirling_Solo_Program289101112131415[[#This Row],[Category]],Twirling_Solo_Program289101112131415[J3 TOTAL],"&gt;"&amp;Twirling_Solo_Program289101112131415[[#This Row],[J3 TOTAL]])+1</calculatedColumnFormula>
    </tableColumn>
    <tableColumn id="18" xr3:uid="{00000000-0010-0000-0900-000012000000}" name="Judge 4_x000a_Bernard Barač" dataDxfId="1102"/>
    <tableColumn id="36" xr3:uid="{00000000-0010-0000-0900-000024000000}" name="J4 (-)" dataDxfId="1101"/>
    <tableColumn id="31" xr3:uid="{00000000-0010-0000-0900-00001F000000}" name="J4 TOTAL" dataDxfId="1100">
      <calculatedColumnFormula>Twirling_Solo_Program289101112131415[[#This Row],[Judge 4
Bernard Barač]]-U2</calculatedColumnFormula>
    </tableColumn>
    <tableColumn id="7" xr3:uid="{00000000-0010-0000-0900-000007000000}" name="J4 (Rank)" dataDxfId="1099">
      <calculatedColumnFormula>COUNTIFS(Twirling_Solo_Program289101112131415[Age
Division],Twirling_Solo_Program289101112131415[[#This Row],[Age
Division]],Twirling_Solo_Program289101112131415[Category],Twirling_Solo_Program289101112131415[[#This Row],[Category]],Twirling_Solo_Program289101112131415[J4 TOTAL],"&gt;"&amp;Twirling_Solo_Program289101112131415[[#This Row],[J4 TOTAL]])+1</calculatedColumnFormula>
    </tableColumn>
    <tableColumn id="20" xr3:uid="{00000000-0010-0000-0900-000014000000}" name="Total" dataDxfId="1098">
      <calculatedColumnFormula>SUM(Twirling_Solo_Program289101112131415[[#This Row],[J1 TOTAL]]+Twirling_Solo_Program289101112131415[[#This Row],[J2 TOTAL]]+Twirling_Solo_Program289101112131415[[#This Row],[J3 TOTAL]]+Twirling_Solo_Program289101112131415[[#This Row],[J4 TOTAL]])</calculatedColumnFormula>
    </tableColumn>
    <tableColumn id="23" xr3:uid="{00000000-0010-0000-0900-000017000000}" name="Low" dataDxfId="1097">
      <calculatedColumnFormula>MIN(Twirling_Solo_Program289101112131415[[#This Row],[J1 TOTAL]],Twirling_Solo_Program289101112131415[[#This Row],[J2 TOTAL]],Twirling_Solo_Program289101112131415[[#This Row],[J3 TOTAL]],Twirling_Solo_Program289101112131415[[#This Row],[J4 TOTAL]])</calculatedColumnFormula>
    </tableColumn>
    <tableColumn id="19" xr3:uid="{00000000-0010-0000-0900-000013000000}" name="High" dataDxfId="1096">
      <calculatedColumnFormula>MAX(Twirling_Solo_Program289101112131415[[#This Row],[J1 TOTAL]],Twirling_Solo_Program289101112131415[[#This Row],[J2 TOTAL]],Twirling_Solo_Program289101112131415[[#This Row],[J3 TOTAL]],Twirling_Solo_Program289101112131415[[#This Row],[J4 TOTAL]])</calculatedColumnFormula>
    </tableColumn>
    <tableColumn id="25" xr3:uid="{00000000-0010-0000-0900-000019000000}" name="Final Total" dataDxfId="1095">
      <calculatedColumnFormula>SUM(Twirling_Solo_Program289101112131415[[#This Row],[Total]]-Twirling_Solo_Program289101112131415[[#This Row],[Low]]-Twirling_Solo_Program289101112131415[[#This Row],[High]])</calculatedColumnFormula>
    </tableColumn>
    <tableColumn id="24" xr3:uid="{00000000-0010-0000-0900-000018000000}" name="Avg" dataDxfId="1094">
      <calculatedColumnFormula>AVERAGE(H2,L2,P2,T2)</calculatedColumnFormula>
    </tableColumn>
    <tableColumn id="22" xr3:uid="{00000000-0010-0000-0900-000016000000}" name="FINAL SCORE" dataDxfId="1093">
      <calculatedColumnFormula>Twirling_Solo_Program289101112131415[[#This Row],[Final Total]]</calculatedColumnFormula>
    </tableColumn>
    <tableColumn id="27" xr3:uid="{00000000-0010-0000-0900-00001B000000}" name="Rank" dataDxfId="1092">
      <calculatedColumnFormula>COUNTIFS(Twirling_Solo_Program289101112131415[Age
Division],Twirling_Solo_Program289101112131415[[#This Row],[Age
Division]],Twirling_Solo_Program289101112131415[Category],Twirling_Solo_Program289101112131415[[#This Row],[Category]],Twirling_Solo_Program289101112131415[FINAL SCORE],"&gt;"&amp;Twirling_Solo_Program289101112131415[[#This Row],[FINAL SCORE]])+1</calculatedColumnFormula>
    </tableColumn>
    <tableColumn id="39" xr3:uid="{00000000-0010-0000-0900-000027000000}" name="Category Type" dataDxfId="1091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wirling_Solo_Program27" displayName="Twirling_Solo_Program27" ref="A1:AE2" totalsRowShown="0" headerRowDxfId="1387" dataDxfId="1386">
  <autoFilter ref="A1:AE2" xr:uid="{00000000-0009-0000-0100-000006000000}"/>
  <tableColumns count="31">
    <tableColumn id="1" xr3:uid="{00000000-0010-0000-0000-000001000000}" name="Start No." dataDxfId="1418"/>
    <tableColumn id="8" xr3:uid="{00000000-0010-0000-0000-000008000000}" name="Lane" dataDxfId="1417"/>
    <tableColumn id="9" xr3:uid="{00000000-0010-0000-0000-000009000000}" name="Category" dataDxfId="1416"/>
    <tableColumn id="32" xr3:uid="{00000000-0010-0000-0000-000020000000}" name="Age_x000a_Division" dataDxfId="1415"/>
    <tableColumn id="4" xr3:uid="{00000000-0010-0000-0000-000004000000}" name="Athlete" dataDxfId="1414"/>
    <tableColumn id="38" xr3:uid="{00000000-0010-0000-0000-000026000000}" name="Club" dataDxfId="1413"/>
    <tableColumn id="37" xr3:uid="{00000000-0010-0000-0000-000025000000}" name="Country" dataDxfId="1412"/>
    <tableColumn id="15" xr3:uid="{00000000-0010-0000-0000-00000F000000}" name="Judge 1_x000a_Tamara Beljak" dataDxfId="1411"/>
    <tableColumn id="33" xr3:uid="{00000000-0010-0000-0000-000021000000}" name="J1 (-)" dataDxfId="1410"/>
    <tableColumn id="26" xr3:uid="{00000000-0010-0000-0000-00001A000000}" name="J1 TOTAL" dataDxfId="1409">
      <calculatedColumnFormula>Twirling_Solo_Program27[[#This Row],[Judge 1
Tamara Beljak]]-I2</calculatedColumnFormula>
    </tableColumn>
    <tableColumn id="3" xr3:uid="{00000000-0010-0000-0000-000003000000}" name="J1 (Rank)" dataDxfId="1408">
      <calculatedColumnFormula>COUNTIFS(Twirling_Solo_Program27[Age
Division],Twirling_Solo_Program27[[#This Row],[Age
Division]],Twirling_Solo_Program27[Category],Twirling_Solo_Program27[[#This Row],[Category]],Twirling_Solo_Program27[J1 TOTAL],"&gt;"&amp;Twirling_Solo_Program27[[#This Row],[J1 TOTAL]])+1</calculatedColumnFormula>
    </tableColumn>
    <tableColumn id="16" xr3:uid="{00000000-0010-0000-0000-000010000000}" name="Judge 2_x000a_Tihomir Bendelja" dataDxfId="1407"/>
    <tableColumn id="34" xr3:uid="{00000000-0010-0000-0000-000022000000}" name="J2 (-)" dataDxfId="1406"/>
    <tableColumn id="28" xr3:uid="{00000000-0010-0000-0000-00001C000000}" name="J2 TOTAL" dataDxfId="1405">
      <calculatedColumnFormula>Twirling_Solo_Program27[[#This Row],[Judge 2
Tihomir Bendelja]]-Twirling_Solo_Program27[[#This Row],[J2 (-)]]</calculatedColumnFormula>
    </tableColumn>
    <tableColumn id="5" xr3:uid="{00000000-0010-0000-0000-000005000000}" name="J2 (Rank)" dataDxfId="1404">
      <calculatedColumnFormula>COUNTIFS(Twirling_Solo_Program27[Age
Division],Twirling_Solo_Program27[[#This Row],[Age
Division]],Twirling_Solo_Program27[Category],Twirling_Solo_Program27[[#This Row],[Category]],Twirling_Solo_Program27[J2 TOTAL],"&gt;"&amp;Twirling_Solo_Program27[[#This Row],[J2 TOTAL]])+1</calculatedColumnFormula>
    </tableColumn>
    <tableColumn id="17" xr3:uid="{00000000-0010-0000-0000-000011000000}" name="Judge 3_x000a_Lucija Ljubičić" dataDxfId="1403"/>
    <tableColumn id="35" xr3:uid="{00000000-0010-0000-0000-000023000000}" name="J3 (-)" dataDxfId="1402"/>
    <tableColumn id="30" xr3:uid="{00000000-0010-0000-0000-00001E000000}" name="J3 TOTAL" dataDxfId="1401">
      <calculatedColumnFormula>Twirling_Solo_Program27[[#This Row],[Judge 3
Lucija Ljubičić]]-Q2</calculatedColumnFormula>
    </tableColumn>
    <tableColumn id="6" xr3:uid="{00000000-0010-0000-0000-000006000000}" name="J3 (Rank)" dataDxfId="1400">
      <calculatedColumnFormula>COUNTIFS(Twirling_Solo_Program27[Age
Division],Twirling_Solo_Program27[[#This Row],[Age
Division]],Twirling_Solo_Program27[Category],Twirling_Solo_Program27[[#This Row],[Category]],Twirling_Solo_Program27[J3 TOTAL],"&gt;"&amp;Twirling_Solo_Program27[[#This Row],[J3 TOTAL]])+1</calculatedColumnFormula>
    </tableColumn>
    <tableColumn id="18" xr3:uid="{00000000-0010-0000-0000-000012000000}" name="Judge 4_x000a_Bernard Barač" dataDxfId="1399"/>
    <tableColumn id="36" xr3:uid="{00000000-0010-0000-0000-000024000000}" name="J4 (-)" dataDxfId="1398"/>
    <tableColumn id="31" xr3:uid="{00000000-0010-0000-0000-00001F000000}" name="J4 TOTAL" dataDxfId="1397">
      <calculatedColumnFormula>Twirling_Solo_Program27[[#This Row],[Judge 4
Bernard Barač]]-U2</calculatedColumnFormula>
    </tableColumn>
    <tableColumn id="7" xr3:uid="{00000000-0010-0000-0000-000007000000}" name="J4 (Rank)" dataDxfId="1396">
      <calculatedColumnFormula>COUNTIFS(Twirling_Solo_Program27[Age
Division],Twirling_Solo_Program27[[#This Row],[Age
Division]],Twirling_Solo_Program27[Category],Twirling_Solo_Program27[[#This Row],[Category]],Twirling_Solo_Program27[J4 TOTAL],"&gt;"&amp;Twirling_Solo_Program27[[#This Row],[J4 TOTAL]])+1</calculatedColumnFormula>
    </tableColumn>
    <tableColumn id="20" xr3:uid="{00000000-0010-0000-0000-000014000000}" name="Total" dataDxfId="1395">
      <calculatedColumnFormula>SUM(Twirling_Solo_Program27[[#This Row],[J1 TOTAL]]+Twirling_Solo_Program27[[#This Row],[J2 TOTAL]]+Twirling_Solo_Program27[[#This Row],[J3 TOTAL]]+Twirling_Solo_Program27[[#This Row],[J4 TOTAL]])</calculatedColumnFormula>
    </tableColumn>
    <tableColumn id="23" xr3:uid="{00000000-0010-0000-0000-000017000000}" name="Low" dataDxfId="1394">
      <calculatedColumnFormula>MIN(Twirling_Solo_Program27[[#This Row],[J1 TOTAL]],Twirling_Solo_Program27[[#This Row],[J2 TOTAL]],Twirling_Solo_Program27[[#This Row],[J3 TOTAL]],Twirling_Solo_Program27[[#This Row],[J4 TOTAL]])</calculatedColumnFormula>
    </tableColumn>
    <tableColumn id="19" xr3:uid="{00000000-0010-0000-0000-000013000000}" name="High" dataDxfId="1393">
      <calculatedColumnFormula>MAX(Twirling_Solo_Program27[[#This Row],[J1 TOTAL]],Twirling_Solo_Program27[[#This Row],[J2 TOTAL]],Twirling_Solo_Program27[[#This Row],[J3 TOTAL]],Twirling_Solo_Program27[[#This Row],[J4 TOTAL]])</calculatedColumnFormula>
    </tableColumn>
    <tableColumn id="25" xr3:uid="{00000000-0010-0000-0000-000019000000}" name="Final Total" dataDxfId="1392">
      <calculatedColumnFormula>SUM(Twirling_Solo_Program27[[#This Row],[Total]]-Twirling_Solo_Program27[[#This Row],[Low]]-Twirling_Solo_Program27[[#This Row],[High]])</calculatedColumnFormula>
    </tableColumn>
    <tableColumn id="24" xr3:uid="{00000000-0010-0000-0000-000018000000}" name="Avg" dataDxfId="1391">
      <calculatedColumnFormula>AVERAGE(H2,L2,P2,T2)</calculatedColumnFormula>
    </tableColumn>
    <tableColumn id="22" xr3:uid="{00000000-0010-0000-0000-000016000000}" name="FINAL SCORE" dataDxfId="1390">
      <calculatedColumnFormula>Twirling_Solo_Program27[[#This Row],[Final Total]]</calculatedColumnFormula>
    </tableColumn>
    <tableColumn id="27" xr3:uid="{00000000-0010-0000-0000-00001B000000}" name="Rank" dataDxfId="1389">
      <calculatedColumnFormula>COUNTIFS(Twirling_Solo_Program27[Age
Division],Twirling_Solo_Program27[[#This Row],[Age
Division]],Twirling_Solo_Program27[Category],Twirling_Solo_Program27[[#This Row],[Category]],Twirling_Solo_Program27[FINAL SCORE],"&gt;"&amp;Twirling_Solo_Program27[[#This Row],[FINAL SCORE]])+1</calculatedColumnFormula>
    </tableColumn>
    <tableColumn id="39" xr3:uid="{00000000-0010-0000-0000-000027000000}" name="Category Type" dataDxfId="138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B000000}" name="Twirling_Solo_Program28910111213141516171819202223242526272829303134" displayName="Twirling_Solo_Program28910111213141516171819202223242526272829303134" ref="A1:AE7" totalsRowShown="0" headerRowDxfId="529" dataDxfId="528">
  <autoFilter ref="A1:AE7" xr:uid="{00000000-0009-0000-0100-000021000000}"/>
  <sortState xmlns:xlrd2="http://schemas.microsoft.com/office/spreadsheetml/2017/richdata2" ref="A2:AE7">
    <sortCondition ref="AD2:AD7"/>
  </sortState>
  <tableColumns count="31">
    <tableColumn id="1" xr3:uid="{00000000-0010-0000-1B00-000001000000}" name="Start No." dataDxfId="560"/>
    <tableColumn id="8" xr3:uid="{00000000-0010-0000-1B00-000008000000}" name="Lane" dataDxfId="559"/>
    <tableColumn id="9" xr3:uid="{00000000-0010-0000-1B00-000009000000}" name="Category" dataDxfId="558"/>
    <tableColumn id="32" xr3:uid="{00000000-0010-0000-1B00-000020000000}" name="Age_x000a_Division" dataDxfId="557"/>
    <tableColumn id="4" xr3:uid="{00000000-0010-0000-1B00-000004000000}" name="Athlete" dataDxfId="556"/>
    <tableColumn id="38" xr3:uid="{00000000-0010-0000-1B00-000026000000}" name="Club" dataDxfId="555"/>
    <tableColumn id="37" xr3:uid="{00000000-0010-0000-1B00-000025000000}" name="Country" dataDxfId="554"/>
    <tableColumn id="15" xr3:uid="{00000000-0010-0000-1B00-00000F000000}" name="Judge 1_x000a_Tamara Beljak" dataDxfId="553"/>
    <tableColumn id="33" xr3:uid="{00000000-0010-0000-1B00-000021000000}" name="J1 (-)" dataDxfId="552"/>
    <tableColumn id="26" xr3:uid="{00000000-0010-0000-1B00-00001A000000}" name="J1 TOTAL" dataDxfId="551">
      <calculatedColumnFormula>Twirling_Solo_Program28910111213141516171819202223242526272829303134[[#This Row],[Judge 1
Tamara Beljak]]-I2</calculatedColumnFormula>
    </tableColumn>
    <tableColumn id="3" xr3:uid="{00000000-0010-0000-1B00-000003000000}" name="J1 (Rank)" dataDxfId="550">
      <calculatedColumnFormula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Row],[Category]],Twirling_Solo_Program28910111213141516171819202223242526272829303134[J1 TOTAL],"&gt;"&amp;Twirling_Solo_Program28910111213141516171819202223242526272829303134[[#This Row],[J1 TOTAL]])+1</calculatedColumnFormula>
    </tableColumn>
    <tableColumn id="16" xr3:uid="{00000000-0010-0000-1B00-000010000000}" name="Judge 2_x000a_Tihomir Bendelja" dataDxfId="549"/>
    <tableColumn id="34" xr3:uid="{00000000-0010-0000-1B00-000022000000}" name="J2 (-)" dataDxfId="548"/>
    <tableColumn id="28" xr3:uid="{00000000-0010-0000-1B00-00001C000000}" name="J2 TOTAL" dataDxfId="547">
      <calculatedColumnFormula>Twirling_Solo_Program28910111213141516171819202223242526272829303134[[#This Row],[Judge 2
Tihomir Bendelja]]-Twirling_Solo_Program28910111213141516171819202223242526272829303134[[#This Row],[J2 (-)]]</calculatedColumnFormula>
    </tableColumn>
    <tableColumn id="5" xr3:uid="{00000000-0010-0000-1B00-000005000000}" name="J2 (Rank)" dataDxfId="546">
      <calculatedColumnFormula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Row],[Category]],Twirling_Solo_Program28910111213141516171819202223242526272829303134[J2 TOTAL],"&gt;"&amp;Twirling_Solo_Program28910111213141516171819202223242526272829303134[[#This Row],[J2 TOTAL]])+1</calculatedColumnFormula>
    </tableColumn>
    <tableColumn id="17" xr3:uid="{00000000-0010-0000-1B00-000011000000}" name="Judge 3_x000a_Lucija Ljubičić" dataDxfId="545"/>
    <tableColumn id="35" xr3:uid="{00000000-0010-0000-1B00-000023000000}" name="J3 (-)" dataDxfId="544"/>
    <tableColumn id="30" xr3:uid="{00000000-0010-0000-1B00-00001E000000}" name="J3 TOTAL" dataDxfId="543">
      <calculatedColumnFormula>Twirling_Solo_Program28910111213141516171819202223242526272829303134[[#This Row],[Judge 3
Lucija Ljubičić]]-Q2</calculatedColumnFormula>
    </tableColumn>
    <tableColumn id="6" xr3:uid="{00000000-0010-0000-1B00-000006000000}" name="J3 (Rank)" dataDxfId="542">
      <calculatedColumnFormula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Row],[Category]],Twirling_Solo_Program28910111213141516171819202223242526272829303134[J3 TOTAL],"&gt;"&amp;Twirling_Solo_Program28910111213141516171819202223242526272829303134[[#This Row],[J3 TOTAL]])+1</calculatedColumnFormula>
    </tableColumn>
    <tableColumn id="18" xr3:uid="{00000000-0010-0000-1B00-000012000000}" name="Judge 4_x000a_Bernard Barač" dataDxfId="541"/>
    <tableColumn id="36" xr3:uid="{00000000-0010-0000-1B00-000024000000}" name="J4 (-)" dataDxfId="540"/>
    <tableColumn id="31" xr3:uid="{00000000-0010-0000-1B00-00001F000000}" name="J4 TOTAL" dataDxfId="539">
      <calculatedColumnFormula>Twirling_Solo_Program28910111213141516171819202223242526272829303134[[#This Row],[Judge 4
Bernard Barač]]-U2</calculatedColumnFormula>
    </tableColumn>
    <tableColumn id="7" xr3:uid="{00000000-0010-0000-1B00-000007000000}" name="J4 (Rank)" dataDxfId="538">
      <calculatedColumnFormula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Row],[Category]],Twirling_Solo_Program28910111213141516171819202223242526272829303134[J4 TOTAL],"&gt;"&amp;Twirling_Solo_Program28910111213141516171819202223242526272829303134[[#This Row],[J4 TOTAL]])+1</calculatedColumnFormula>
    </tableColumn>
    <tableColumn id="20" xr3:uid="{00000000-0010-0000-1B00-000014000000}" name="Total" dataDxfId="537">
      <calculatedColumnFormula>SUM(Twirling_Solo_Program28910111213141516171819202223242526272829303134[[#This Row],[J1 TOTAL]]+Twirling_Solo_Program28910111213141516171819202223242526272829303134[[#This Row],[J2 TOTAL]]+Twirling_Solo_Program28910111213141516171819202223242526272829303134[[#This Row],[J3 TOTAL]]+Twirling_Solo_Program28910111213141516171819202223242526272829303134[[#This Row],[J4 TOTAL]])</calculatedColumnFormula>
    </tableColumn>
    <tableColumn id="23" xr3:uid="{00000000-0010-0000-1B00-000017000000}" name="Low" dataDxfId="536"/>
    <tableColumn id="19" xr3:uid="{00000000-0010-0000-1B00-000013000000}" name="High" dataDxfId="535"/>
    <tableColumn id="25" xr3:uid="{00000000-0010-0000-1B00-000019000000}" name="Final Total" dataDxfId="534">
      <calculatedColumnFormula>Twirling_Solo_Program28910111213141516171819202223242526272829303134[[#This Row],[Total]]</calculatedColumnFormula>
    </tableColumn>
    <tableColumn id="24" xr3:uid="{00000000-0010-0000-1B00-000018000000}" name="Avg" dataDxfId="533">
      <calculatedColumnFormula>AVERAGE(H2,L2,P2,T2)</calculatedColumnFormula>
    </tableColumn>
    <tableColumn id="22" xr3:uid="{00000000-0010-0000-1B00-000016000000}" name="FINAL SCORE" dataDxfId="532">
      <calculatedColumnFormula>Twirling_Solo_Program28910111213141516171819202223242526272829303134[[#This Row],[Final Total]]</calculatedColumnFormula>
    </tableColumn>
    <tableColumn id="27" xr3:uid="{00000000-0010-0000-1B00-00001B000000}" name="Rank" dataDxfId="531">
      <calculatedColumnFormula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Row],[Category]],Twirling_Solo_Program28910111213141516171819202223242526272829303134[FINAL SCORE],"&gt;"&amp;Twirling_Solo_Program28910111213141516171819202223242526272829303134[[#This Row],[FINAL SCORE]])+1</calculatedColumnFormula>
    </tableColumn>
    <tableColumn id="39" xr3:uid="{00000000-0010-0000-1B00-000027000000}" name="Category Type" dataDxfId="530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wirling_Solo_Program2" displayName="Twirling_Solo_Program2" ref="A1:AE3" totalsRowShown="0" headerRowDxfId="1354" dataDxfId="1353">
  <autoFilter ref="A1:AE3" xr:uid="{00000000-0009-0000-0100-000001000000}"/>
  <sortState xmlns:xlrd2="http://schemas.microsoft.com/office/spreadsheetml/2017/richdata2" ref="A2:AE3">
    <sortCondition ref="AD2:AD3"/>
  </sortState>
  <tableColumns count="31">
    <tableColumn id="1" xr3:uid="{00000000-0010-0000-0100-000001000000}" name="Start No." dataDxfId="1385"/>
    <tableColumn id="8" xr3:uid="{00000000-0010-0000-0100-000008000000}" name="Lane" dataDxfId="1384"/>
    <tableColumn id="9" xr3:uid="{00000000-0010-0000-0100-000009000000}" name="Category" dataDxfId="1383"/>
    <tableColumn id="32" xr3:uid="{00000000-0010-0000-0100-000020000000}" name="Age_x000a_Division" dataDxfId="1382"/>
    <tableColumn id="4" xr3:uid="{00000000-0010-0000-0100-000004000000}" name="Athlete" dataDxfId="1381"/>
    <tableColumn id="38" xr3:uid="{00000000-0010-0000-0100-000026000000}" name="Club" dataDxfId="1380"/>
    <tableColumn id="37" xr3:uid="{00000000-0010-0000-0100-000025000000}" name="Country" dataDxfId="1379"/>
    <tableColumn id="15" xr3:uid="{00000000-0010-0000-0100-00000F000000}" name="Judge 1_x000a_Tamara Beljak" dataDxfId="1378"/>
    <tableColumn id="33" xr3:uid="{00000000-0010-0000-0100-000021000000}" name="J1 (-)" dataDxfId="1377"/>
    <tableColumn id="26" xr3:uid="{00000000-0010-0000-0100-00001A000000}" name="J1 TOTAL" dataDxfId="1376">
      <calculatedColumnFormula>Twirling_Solo_Program2[[#This Row],[Judge 1
Tamara Beljak]]-I2</calculatedColumnFormula>
    </tableColumn>
    <tableColumn id="3" xr3:uid="{00000000-0010-0000-0100-000003000000}" name="J1 (Rank)" dataDxfId="1375">
      <calculatedColumnFormula>COUNTIFS(Twirling_Solo_Program2[Age
Division],Twirling_Solo_Program2[[#This Row],[Age
Division]],Twirling_Solo_Program2[Category],Twirling_Solo_Program2[[#This Row],[Category]],Twirling_Solo_Program2[J1 TOTAL],"&gt;"&amp;Twirling_Solo_Program2[[#This Row],[J1 TOTAL]])+1</calculatedColumnFormula>
    </tableColumn>
    <tableColumn id="16" xr3:uid="{00000000-0010-0000-0100-000010000000}" name="Judge 2_x000a_Tihomir Bendelja" dataDxfId="1374"/>
    <tableColumn id="34" xr3:uid="{00000000-0010-0000-0100-000022000000}" name="J2 (-)" dataDxfId="1373"/>
    <tableColumn id="28" xr3:uid="{00000000-0010-0000-0100-00001C000000}" name="J2 TOTAL" dataDxfId="1372">
      <calculatedColumnFormula>Twirling_Solo_Program2[[#This Row],[Judge 2
Tihomir Bendelja]]-Twirling_Solo_Program2[[#This Row],[J2 (-)]]</calculatedColumnFormula>
    </tableColumn>
    <tableColumn id="5" xr3:uid="{00000000-0010-0000-0100-000005000000}" name="J2 (Rank)" dataDxfId="1371">
      <calculatedColumnFormula>COUNTIFS(Twirling_Solo_Program2[Age
Division],Twirling_Solo_Program2[[#This Row],[Age
Division]],Twirling_Solo_Program2[Category],Twirling_Solo_Program2[[#This Row],[Category]],Twirling_Solo_Program2[J2 TOTAL],"&gt;"&amp;Twirling_Solo_Program2[[#This Row],[J2 TOTAL]])+1</calculatedColumnFormula>
    </tableColumn>
    <tableColumn id="17" xr3:uid="{00000000-0010-0000-0100-000011000000}" name="Judge 3_x000a_Lucija Ljubičić" dataDxfId="1370"/>
    <tableColumn id="35" xr3:uid="{00000000-0010-0000-0100-000023000000}" name="J3 (-)" dataDxfId="1369"/>
    <tableColumn id="30" xr3:uid="{00000000-0010-0000-0100-00001E000000}" name="J3 TOTAL" dataDxfId="1368">
      <calculatedColumnFormula>Twirling_Solo_Program2[[#This Row],[Judge 3
Lucija Ljubičić]]-Q2</calculatedColumnFormula>
    </tableColumn>
    <tableColumn id="6" xr3:uid="{00000000-0010-0000-0100-000006000000}" name="J3 (Rank)" dataDxfId="1367">
      <calculatedColumnFormula>COUNTIFS(Twirling_Solo_Program2[Age
Division],Twirling_Solo_Program2[[#This Row],[Age
Division]],Twirling_Solo_Program2[Category],Twirling_Solo_Program2[[#This Row],[Category]],Twirling_Solo_Program2[J3 TOTAL],"&gt;"&amp;Twirling_Solo_Program2[[#This Row],[J3 TOTAL]])+1</calculatedColumnFormula>
    </tableColumn>
    <tableColumn id="18" xr3:uid="{00000000-0010-0000-0100-000012000000}" name="Judge 4_x000a_Bernard Barač" dataDxfId="1366"/>
    <tableColumn id="36" xr3:uid="{00000000-0010-0000-0100-000024000000}" name="J4 (-)" dataDxfId="1365"/>
    <tableColumn id="31" xr3:uid="{00000000-0010-0000-0100-00001F000000}" name="J4 TOTAL" dataDxfId="1364">
      <calculatedColumnFormula>Twirling_Solo_Program2[[#This Row],[Judge 4
Bernard Barač]]-U2</calculatedColumnFormula>
    </tableColumn>
    <tableColumn id="7" xr3:uid="{00000000-0010-0000-0100-000007000000}" name="J4 (Rank)" dataDxfId="1363">
      <calculatedColumnFormula>COUNTIFS(Twirling_Solo_Program2[Age
Division],Twirling_Solo_Program2[[#This Row],[Age
Division]],Twirling_Solo_Program2[Category],Twirling_Solo_Program2[[#This Row],[Category]],Twirling_Solo_Program2[J4 TOTAL],"&gt;"&amp;Twirling_Solo_Program2[[#This Row],[J4 TOTAL]])+1</calculatedColumnFormula>
    </tableColumn>
    <tableColumn id="20" xr3:uid="{00000000-0010-0000-0100-000014000000}" name="Total" dataDxfId="1362">
      <calculatedColumnFormula>SUM(Twirling_Solo_Program2[[#This Row],[J1 TOTAL]]+Twirling_Solo_Program2[[#This Row],[J2 TOTAL]]+Twirling_Solo_Program2[[#This Row],[J3 TOTAL]]+Twirling_Solo_Program2[[#This Row],[J4 TOTAL]])</calculatedColumnFormula>
    </tableColumn>
    <tableColumn id="23" xr3:uid="{00000000-0010-0000-0100-000017000000}" name="Low" dataDxfId="1361">
      <calculatedColumnFormula>MIN(Twirling_Solo_Program2[[#This Row],[J1 TOTAL]],Twirling_Solo_Program2[[#This Row],[J2 TOTAL]],Twirling_Solo_Program2[[#This Row],[J3 TOTAL]],Twirling_Solo_Program2[[#This Row],[J4 TOTAL]])</calculatedColumnFormula>
    </tableColumn>
    <tableColumn id="19" xr3:uid="{00000000-0010-0000-0100-000013000000}" name="High" dataDxfId="1360">
      <calculatedColumnFormula>MAX(Twirling_Solo_Program2[[#This Row],[J1 TOTAL]],Twirling_Solo_Program2[[#This Row],[J2 TOTAL]],Twirling_Solo_Program2[[#This Row],[J3 TOTAL]],Twirling_Solo_Program2[[#This Row],[J4 TOTAL]])</calculatedColumnFormula>
    </tableColumn>
    <tableColumn id="25" xr3:uid="{00000000-0010-0000-0100-000019000000}" name="Final Total" dataDxfId="1359">
      <calculatedColumnFormula>SUM(Twirling_Solo_Program2[[#This Row],[Total]]-Twirling_Solo_Program2[[#This Row],[Low]]-Twirling_Solo_Program2[[#This Row],[High]])</calculatedColumnFormula>
    </tableColumn>
    <tableColumn id="24" xr3:uid="{00000000-0010-0000-0100-000018000000}" name="Avg" dataDxfId="1358">
      <calculatedColumnFormula>AVERAGE(H2,L2,P2,T2)</calculatedColumnFormula>
    </tableColumn>
    <tableColumn id="22" xr3:uid="{00000000-0010-0000-0100-000016000000}" name="FINAL SCORE" dataDxfId="1357">
      <calculatedColumnFormula>Twirling_Solo_Program2[[#This Row],[Final Total]]</calculatedColumnFormula>
    </tableColumn>
    <tableColumn id="27" xr3:uid="{00000000-0010-0000-0100-00001B000000}" name="Rank" dataDxfId="1356">
      <calculatedColumnFormula>COUNTIFS(Twirling_Solo_Program2[Age
Division],Twirling_Solo_Program2[[#This Row],[Age
Division]],Twirling_Solo_Program2[Category],Twirling_Solo_Program2[[#This Row],[Category]],Twirling_Solo_Program2[FINAL SCORE],"&gt;"&amp;Twirling_Solo_Program2[[#This Row],[FINAL SCORE]])+1</calculatedColumnFormula>
    </tableColumn>
    <tableColumn id="39" xr3:uid="{00000000-0010-0000-0100-000027000000}" name="Category Type" dataDxfId="1355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wirling_Solo_Program28" displayName="Twirling_Solo_Program28" ref="A1:AE2" totalsRowShown="0" headerRowDxfId="1321" dataDxfId="1320">
  <autoFilter ref="A1:AE2" xr:uid="{00000000-0009-0000-0100-000007000000}"/>
  <tableColumns count="31">
    <tableColumn id="1" xr3:uid="{00000000-0010-0000-0200-000001000000}" name="Start No." dataDxfId="1352"/>
    <tableColumn id="8" xr3:uid="{00000000-0010-0000-0200-000008000000}" name="Lane" dataDxfId="1351"/>
    <tableColumn id="9" xr3:uid="{00000000-0010-0000-0200-000009000000}" name="Category" dataDxfId="1350"/>
    <tableColumn id="32" xr3:uid="{00000000-0010-0000-0200-000020000000}" name="Age_x000a_Division" dataDxfId="1349"/>
    <tableColumn id="4" xr3:uid="{00000000-0010-0000-0200-000004000000}" name="Athlete" dataDxfId="1348"/>
    <tableColumn id="38" xr3:uid="{00000000-0010-0000-0200-000026000000}" name="Club" dataDxfId="1347"/>
    <tableColumn id="37" xr3:uid="{00000000-0010-0000-0200-000025000000}" name="Country" dataDxfId="1346"/>
    <tableColumn id="15" xr3:uid="{00000000-0010-0000-0200-00000F000000}" name="Judge 1_x000a_Tamara Beljak" dataDxfId="1345"/>
    <tableColumn id="33" xr3:uid="{00000000-0010-0000-0200-000021000000}" name="J1 (-)" dataDxfId="1344"/>
    <tableColumn id="26" xr3:uid="{00000000-0010-0000-0200-00001A000000}" name="J1 TOTAL" dataDxfId="1343">
      <calculatedColumnFormula>Twirling_Solo_Program28[[#This Row],[Judge 1
Tamara Beljak]]-I2</calculatedColumnFormula>
    </tableColumn>
    <tableColumn id="3" xr3:uid="{00000000-0010-0000-0200-000003000000}" name="J1 (Rank)" dataDxfId="1342">
      <calculatedColumnFormula>COUNTIFS(Twirling_Solo_Program28[Age
Division],Twirling_Solo_Program28[[#This Row],[Age
Division]],Twirling_Solo_Program28[Category],Twirling_Solo_Program28[[#This Row],[Category]],Twirling_Solo_Program28[J1 TOTAL],"&gt;"&amp;Twirling_Solo_Program28[[#This Row],[J1 TOTAL]])+1</calculatedColumnFormula>
    </tableColumn>
    <tableColumn id="16" xr3:uid="{00000000-0010-0000-0200-000010000000}" name="Judge 2_x000a_Tihomir Bendelja" dataDxfId="1341"/>
    <tableColumn id="34" xr3:uid="{00000000-0010-0000-0200-000022000000}" name="J2 (-)" dataDxfId="1340"/>
    <tableColumn id="28" xr3:uid="{00000000-0010-0000-0200-00001C000000}" name="J2 TOTAL" dataDxfId="1339">
      <calculatedColumnFormula>Twirling_Solo_Program28[[#This Row],[Judge 2
Tihomir Bendelja]]-Twirling_Solo_Program28[[#This Row],[J2 (-)]]</calculatedColumnFormula>
    </tableColumn>
    <tableColumn id="5" xr3:uid="{00000000-0010-0000-0200-000005000000}" name="J2 (Rank)" dataDxfId="1338">
      <calculatedColumnFormula>COUNTIFS(Twirling_Solo_Program28[Age
Division],Twirling_Solo_Program28[[#This Row],[Age
Division]],Twirling_Solo_Program28[Category],Twirling_Solo_Program28[[#This Row],[Category]],Twirling_Solo_Program28[J2 TOTAL],"&gt;"&amp;Twirling_Solo_Program28[[#This Row],[J2 TOTAL]])+1</calculatedColumnFormula>
    </tableColumn>
    <tableColumn id="17" xr3:uid="{00000000-0010-0000-0200-000011000000}" name="Judge 3_x000a_Lucija Ljubičić" dataDxfId="1337"/>
    <tableColumn id="35" xr3:uid="{00000000-0010-0000-0200-000023000000}" name="J3 (-)" dataDxfId="1336"/>
    <tableColumn id="30" xr3:uid="{00000000-0010-0000-0200-00001E000000}" name="J3 TOTAL" dataDxfId="1335">
      <calculatedColumnFormula>Twirling_Solo_Program28[[#This Row],[Judge 3
Lucija Ljubičić]]-Q2</calculatedColumnFormula>
    </tableColumn>
    <tableColumn id="6" xr3:uid="{00000000-0010-0000-0200-000006000000}" name="J3 (Rank)" dataDxfId="1334">
      <calculatedColumnFormula>COUNTIFS(Twirling_Solo_Program28[Age
Division],Twirling_Solo_Program28[[#This Row],[Age
Division]],Twirling_Solo_Program28[Category],Twirling_Solo_Program28[[#This Row],[Category]],Twirling_Solo_Program28[J3 TOTAL],"&gt;"&amp;Twirling_Solo_Program28[[#This Row],[J3 TOTAL]])+1</calculatedColumnFormula>
    </tableColumn>
    <tableColumn id="18" xr3:uid="{00000000-0010-0000-0200-000012000000}" name="Judge 4_x000a_Bernard Barač" dataDxfId="1333"/>
    <tableColumn id="36" xr3:uid="{00000000-0010-0000-0200-000024000000}" name="J4 (-)" dataDxfId="1332"/>
    <tableColumn id="31" xr3:uid="{00000000-0010-0000-0200-00001F000000}" name="J4 TOTAL" dataDxfId="1331">
      <calculatedColumnFormula>Twirling_Solo_Program28[[#This Row],[Judge 4
Bernard Barač]]-U2</calculatedColumnFormula>
    </tableColumn>
    <tableColumn id="7" xr3:uid="{00000000-0010-0000-0200-000007000000}" name="J4 (Rank)" dataDxfId="1330">
      <calculatedColumnFormula>COUNTIFS(Twirling_Solo_Program28[Age
Division],Twirling_Solo_Program28[[#This Row],[Age
Division]],Twirling_Solo_Program28[Category],Twirling_Solo_Program28[[#This Row],[Category]],Twirling_Solo_Program28[J4 TOTAL],"&gt;"&amp;Twirling_Solo_Program28[[#This Row],[J4 TOTAL]])+1</calculatedColumnFormula>
    </tableColumn>
    <tableColumn id="20" xr3:uid="{00000000-0010-0000-0200-000014000000}" name="Total" dataDxfId="1329">
      <calculatedColumnFormula>SUM(Twirling_Solo_Program28[[#This Row],[J1 TOTAL]]+Twirling_Solo_Program28[[#This Row],[J2 TOTAL]]+Twirling_Solo_Program28[[#This Row],[J3 TOTAL]]+Twirling_Solo_Program28[[#This Row],[J4 TOTAL]])</calculatedColumnFormula>
    </tableColumn>
    <tableColumn id="23" xr3:uid="{00000000-0010-0000-0200-000017000000}" name="Low" dataDxfId="1328">
      <calculatedColumnFormula>MIN(Twirling_Solo_Program28[[#This Row],[J1 TOTAL]],Twirling_Solo_Program28[[#This Row],[J2 TOTAL]],Twirling_Solo_Program28[[#This Row],[J3 TOTAL]],Twirling_Solo_Program28[[#This Row],[J4 TOTAL]])</calculatedColumnFormula>
    </tableColumn>
    <tableColumn id="19" xr3:uid="{00000000-0010-0000-0200-000013000000}" name="High" dataDxfId="1327">
      <calculatedColumnFormula>MAX(Twirling_Solo_Program28[[#This Row],[J1 TOTAL]],Twirling_Solo_Program28[[#This Row],[J2 TOTAL]],Twirling_Solo_Program28[[#This Row],[J3 TOTAL]],Twirling_Solo_Program28[[#This Row],[J4 TOTAL]])</calculatedColumnFormula>
    </tableColumn>
    <tableColumn id="25" xr3:uid="{00000000-0010-0000-0200-000019000000}" name="Final Total" dataDxfId="1326">
      <calculatedColumnFormula>SUM(Twirling_Solo_Program28[[#This Row],[Total]]-Twirling_Solo_Program28[[#This Row],[Low]]-Twirling_Solo_Program28[[#This Row],[High]])</calculatedColumnFormula>
    </tableColumn>
    <tableColumn id="24" xr3:uid="{00000000-0010-0000-0200-000018000000}" name="Avg" dataDxfId="1325">
      <calculatedColumnFormula>AVERAGE(H2,L2,P2,T2)</calculatedColumnFormula>
    </tableColumn>
    <tableColumn id="22" xr3:uid="{00000000-0010-0000-0200-000016000000}" name="FINAL SCORE" dataDxfId="1324">
      <calculatedColumnFormula>Twirling_Solo_Program28[[#This Row],[Final Total]]</calculatedColumnFormula>
    </tableColumn>
    <tableColumn id="27" xr3:uid="{00000000-0010-0000-0200-00001B000000}" name="Rank" dataDxfId="1323">
      <calculatedColumnFormula>COUNTIFS(Twirling_Solo_Program28[Age
Division],Twirling_Solo_Program28[[#This Row],[Age
Division]],Twirling_Solo_Program28[Category],Twirling_Solo_Program28[[#This Row],[Category]],Twirling_Solo_Program28[FINAL SCORE],"&gt;"&amp;Twirling_Solo_Program28[[#This Row],[FINAL SCORE]])+1</calculatedColumnFormula>
    </tableColumn>
    <tableColumn id="39" xr3:uid="{00000000-0010-0000-0200-000027000000}" name="Category Type" dataDxfId="132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Twirling_Solo_Program28910111213141516" displayName="Twirling_Solo_Program28910111213141516" ref="A1:AE2" totalsRowShown="0" headerRowDxfId="1057" dataDxfId="1056">
  <autoFilter ref="A1:AE2" xr:uid="{00000000-0009-0000-0100-00000F000000}"/>
  <tableColumns count="31">
    <tableColumn id="1" xr3:uid="{00000000-0010-0000-0A00-000001000000}" name="Start No." dataDxfId="1088"/>
    <tableColumn id="8" xr3:uid="{00000000-0010-0000-0A00-000008000000}" name="Lane" dataDxfId="1087"/>
    <tableColumn id="9" xr3:uid="{00000000-0010-0000-0A00-000009000000}" name="Category" dataDxfId="1086"/>
    <tableColumn id="32" xr3:uid="{00000000-0010-0000-0A00-000020000000}" name="Age_x000a_Division" dataDxfId="1085"/>
    <tableColumn id="4" xr3:uid="{00000000-0010-0000-0A00-000004000000}" name="Athlete" dataDxfId="1084"/>
    <tableColumn id="38" xr3:uid="{00000000-0010-0000-0A00-000026000000}" name="Club" dataDxfId="1083"/>
    <tableColumn id="37" xr3:uid="{00000000-0010-0000-0A00-000025000000}" name="Country" dataDxfId="1082"/>
    <tableColumn id="15" xr3:uid="{00000000-0010-0000-0A00-00000F000000}" name="Judge 1_x000a_Tamara Beljak" dataDxfId="1081"/>
    <tableColumn id="33" xr3:uid="{00000000-0010-0000-0A00-000021000000}" name="J1 (-)" dataDxfId="1080"/>
    <tableColumn id="26" xr3:uid="{00000000-0010-0000-0A00-00001A000000}" name="J1 TOTAL" dataDxfId="1079">
      <calculatedColumnFormula>Twirling_Solo_Program28910111213141516[[#This Row],[Judge 1
Tamara Beljak]]-I2</calculatedColumnFormula>
    </tableColumn>
    <tableColumn id="3" xr3:uid="{00000000-0010-0000-0A00-000003000000}" name="J1 (Rank)" dataDxfId="1078">
      <calculatedColumnFormula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Row],[Category]],Twirling_Solo_Program28910111213141516[J1 TOTAL],"&gt;"&amp;Twirling_Solo_Program28910111213141516[[#This Row],[J1 TOTAL]])+1</calculatedColumnFormula>
    </tableColumn>
    <tableColumn id="16" xr3:uid="{00000000-0010-0000-0A00-000010000000}" name="Judge 2_x000a_Tihomir Bendelja" dataDxfId="1077"/>
    <tableColumn id="34" xr3:uid="{00000000-0010-0000-0A00-000022000000}" name="J2 (-)" dataDxfId="1076"/>
    <tableColumn id="28" xr3:uid="{00000000-0010-0000-0A00-00001C000000}" name="J2 TOTAL" dataDxfId="1075">
      <calculatedColumnFormula>Twirling_Solo_Program28910111213141516[[#This Row],[Judge 2
Tihomir Bendelja]]-Twirling_Solo_Program28910111213141516[[#This Row],[J2 (-)]]</calculatedColumnFormula>
    </tableColumn>
    <tableColumn id="5" xr3:uid="{00000000-0010-0000-0A00-000005000000}" name="J2 (Rank)" dataDxfId="1074">
      <calculatedColumnFormula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Row],[Category]],Twirling_Solo_Program28910111213141516[J2 TOTAL],"&gt;"&amp;Twirling_Solo_Program28910111213141516[[#This Row],[J2 TOTAL]])+1</calculatedColumnFormula>
    </tableColumn>
    <tableColumn id="17" xr3:uid="{00000000-0010-0000-0A00-000011000000}" name="Judge 3_x000a_Lucija Ljubičić" dataDxfId="1073"/>
    <tableColumn id="35" xr3:uid="{00000000-0010-0000-0A00-000023000000}" name="J3 (-)" dataDxfId="1072"/>
    <tableColumn id="30" xr3:uid="{00000000-0010-0000-0A00-00001E000000}" name="J3 TOTAL" dataDxfId="1071">
      <calculatedColumnFormula>Twirling_Solo_Program28910111213141516[[#This Row],[Judge 3
Lucija Ljubičić]]-Q2</calculatedColumnFormula>
    </tableColumn>
    <tableColumn id="6" xr3:uid="{00000000-0010-0000-0A00-000006000000}" name="J3 (Rank)" dataDxfId="1070">
      <calculatedColumnFormula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Row],[Category]],Twirling_Solo_Program28910111213141516[J3 TOTAL],"&gt;"&amp;Twirling_Solo_Program28910111213141516[[#This Row],[J3 TOTAL]])+1</calculatedColumnFormula>
    </tableColumn>
    <tableColumn id="18" xr3:uid="{00000000-0010-0000-0A00-000012000000}" name="Judge 4_x000a_Bernard Barač" dataDxfId="1069"/>
    <tableColumn id="36" xr3:uid="{00000000-0010-0000-0A00-000024000000}" name="J4 (-)" dataDxfId="1068"/>
    <tableColumn id="31" xr3:uid="{00000000-0010-0000-0A00-00001F000000}" name="J4 TOTAL" dataDxfId="1067">
      <calculatedColumnFormula>Twirling_Solo_Program28910111213141516[[#This Row],[Judge 4
Bernard Barač]]-U2</calculatedColumnFormula>
    </tableColumn>
    <tableColumn id="7" xr3:uid="{00000000-0010-0000-0A00-000007000000}" name="J4 (Rank)" dataDxfId="1066">
      <calculatedColumnFormula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Row],[Category]],Twirling_Solo_Program28910111213141516[J4 TOTAL],"&gt;"&amp;Twirling_Solo_Program28910111213141516[[#This Row],[J4 TOTAL]])+1</calculatedColumnFormula>
    </tableColumn>
    <tableColumn id="20" xr3:uid="{00000000-0010-0000-0A00-000014000000}" name="Total" dataDxfId="1065">
      <calculatedColumnFormula>SUM(Twirling_Solo_Program28910111213141516[[#This Row],[J1 TOTAL]]+Twirling_Solo_Program28910111213141516[[#This Row],[J2 TOTAL]]+Twirling_Solo_Program28910111213141516[[#This Row],[J3 TOTAL]]+Twirling_Solo_Program28910111213141516[[#This Row],[J4 TOTAL]])</calculatedColumnFormula>
    </tableColumn>
    <tableColumn id="23" xr3:uid="{00000000-0010-0000-0A00-000017000000}" name="Low" dataDxfId="1064">
      <calculatedColumnFormula>MIN(Twirling_Solo_Program28910111213141516[[#This Row],[J1 TOTAL]],Twirling_Solo_Program28910111213141516[[#This Row],[J2 TOTAL]],Twirling_Solo_Program28910111213141516[[#This Row],[J3 TOTAL]],Twirling_Solo_Program28910111213141516[[#This Row],[J4 TOTAL]])</calculatedColumnFormula>
    </tableColumn>
    <tableColumn id="19" xr3:uid="{00000000-0010-0000-0A00-000013000000}" name="High" dataDxfId="1063">
      <calculatedColumnFormula>MAX(Twirling_Solo_Program28910111213141516[[#This Row],[J1 TOTAL]],Twirling_Solo_Program28910111213141516[[#This Row],[J2 TOTAL]],Twirling_Solo_Program28910111213141516[[#This Row],[J3 TOTAL]],Twirling_Solo_Program28910111213141516[[#This Row],[J4 TOTAL]])</calculatedColumnFormula>
    </tableColumn>
    <tableColumn id="25" xr3:uid="{00000000-0010-0000-0A00-000019000000}" name="Final Total" dataDxfId="1062">
      <calculatedColumnFormula>SUM(Twirling_Solo_Program28910111213141516[[#This Row],[Total]]-Twirling_Solo_Program28910111213141516[[#This Row],[Low]]-Twirling_Solo_Program28910111213141516[[#This Row],[High]])</calculatedColumnFormula>
    </tableColumn>
    <tableColumn id="24" xr3:uid="{00000000-0010-0000-0A00-000018000000}" name="Avg" dataDxfId="1061">
      <calculatedColumnFormula>AVERAGE(H2,L2,P2,T2)</calculatedColumnFormula>
    </tableColumn>
    <tableColumn id="22" xr3:uid="{00000000-0010-0000-0A00-000016000000}" name="FINAL SCORE" dataDxfId="1060">
      <calculatedColumnFormula>Twirling_Solo_Program28910111213141516[[#This Row],[Final Total]]</calculatedColumnFormula>
    </tableColumn>
    <tableColumn id="27" xr3:uid="{00000000-0010-0000-0A00-00001B000000}" name="Rank" dataDxfId="1059">
      <calculatedColumnFormula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Row],[Category]],Twirling_Solo_Program28910111213141516[FINAL SCORE],"&gt;"&amp;Twirling_Solo_Program28910111213141516[[#This Row],[FINAL SCORE]])+1</calculatedColumnFormula>
    </tableColumn>
    <tableColumn id="39" xr3:uid="{00000000-0010-0000-0A00-000027000000}" name="Category Type" dataDxfId="105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wirling_Solo_Program2891011121314151617" displayName="Twirling_Solo_Program2891011121314151617" ref="A1:AE2" totalsRowShown="0" headerRowDxfId="1024" dataDxfId="1023">
  <autoFilter ref="A1:AE2" xr:uid="{00000000-0009-0000-0100-000010000000}"/>
  <tableColumns count="31">
    <tableColumn id="1" xr3:uid="{00000000-0010-0000-0B00-000001000000}" name="Start No." dataDxfId="1055"/>
    <tableColumn id="8" xr3:uid="{00000000-0010-0000-0B00-000008000000}" name="Lane" dataDxfId="1054"/>
    <tableColumn id="9" xr3:uid="{00000000-0010-0000-0B00-000009000000}" name="Category" dataDxfId="1053"/>
    <tableColumn id="32" xr3:uid="{00000000-0010-0000-0B00-000020000000}" name="Age_x000a_Division" dataDxfId="1052"/>
    <tableColumn id="4" xr3:uid="{00000000-0010-0000-0B00-000004000000}" name="Athlete" dataDxfId="1051"/>
    <tableColumn id="38" xr3:uid="{00000000-0010-0000-0B00-000026000000}" name="Club" dataDxfId="1050"/>
    <tableColumn id="37" xr3:uid="{00000000-0010-0000-0B00-000025000000}" name="Country" dataDxfId="1049"/>
    <tableColumn id="15" xr3:uid="{00000000-0010-0000-0B00-00000F000000}" name="Judge 1_x000a_Tamara Beljak" dataDxfId="1048"/>
    <tableColumn id="33" xr3:uid="{00000000-0010-0000-0B00-000021000000}" name="J1 (-)" dataDxfId="1047"/>
    <tableColumn id="26" xr3:uid="{00000000-0010-0000-0B00-00001A000000}" name="J1 TOTAL" dataDxfId="1046">
      <calculatedColumnFormula>Twirling_Solo_Program2891011121314151617[[#This Row],[Judge 1
Tamara Beljak]]-I2</calculatedColumnFormula>
    </tableColumn>
    <tableColumn id="3" xr3:uid="{00000000-0010-0000-0B00-000003000000}" name="J1 (Rank)" dataDxfId="1045">
      <calculatedColumnFormula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Row],[Category]],Twirling_Solo_Program2891011121314151617[J1 TOTAL],"&gt;"&amp;Twirling_Solo_Program2891011121314151617[[#This Row],[J1 TOTAL]])+1</calculatedColumnFormula>
    </tableColumn>
    <tableColumn id="16" xr3:uid="{00000000-0010-0000-0B00-000010000000}" name="Judge 2_x000a_Tihomir Bendelja" dataDxfId="1044"/>
    <tableColumn id="34" xr3:uid="{00000000-0010-0000-0B00-000022000000}" name="J2 (-)" dataDxfId="1043"/>
    <tableColumn id="28" xr3:uid="{00000000-0010-0000-0B00-00001C000000}" name="J2 TOTAL" dataDxfId="1042">
      <calculatedColumnFormula>Twirling_Solo_Program2891011121314151617[[#This Row],[Judge 2
Tihomir Bendelja]]-Twirling_Solo_Program2891011121314151617[[#This Row],[J2 (-)]]</calculatedColumnFormula>
    </tableColumn>
    <tableColumn id="5" xr3:uid="{00000000-0010-0000-0B00-000005000000}" name="J2 (Rank)" dataDxfId="1041">
      <calculatedColumnFormula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Row],[Category]],Twirling_Solo_Program2891011121314151617[J2 TOTAL],"&gt;"&amp;Twirling_Solo_Program2891011121314151617[[#This Row],[J2 TOTAL]])+1</calculatedColumnFormula>
    </tableColumn>
    <tableColumn id="17" xr3:uid="{00000000-0010-0000-0B00-000011000000}" name="Judge 3_x000a_Lucija Ljubičić" dataDxfId="1040"/>
    <tableColumn id="35" xr3:uid="{00000000-0010-0000-0B00-000023000000}" name="J3 (-)" dataDxfId="1039"/>
    <tableColumn id="30" xr3:uid="{00000000-0010-0000-0B00-00001E000000}" name="J3 TOTAL" dataDxfId="1038">
      <calculatedColumnFormula>Twirling_Solo_Program2891011121314151617[[#This Row],[Judge 3
Lucija Ljubičić]]-Q2</calculatedColumnFormula>
    </tableColumn>
    <tableColumn id="6" xr3:uid="{00000000-0010-0000-0B00-000006000000}" name="J3 (Rank)" dataDxfId="1037">
      <calculatedColumnFormula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Row],[Category]],Twirling_Solo_Program2891011121314151617[J3 TOTAL],"&gt;"&amp;Twirling_Solo_Program2891011121314151617[[#This Row],[J3 TOTAL]])+1</calculatedColumnFormula>
    </tableColumn>
    <tableColumn id="18" xr3:uid="{00000000-0010-0000-0B00-000012000000}" name="Judge 4_x000a_Bernard Barač" dataDxfId="1036"/>
    <tableColumn id="36" xr3:uid="{00000000-0010-0000-0B00-000024000000}" name="J4 (-)" dataDxfId="1035"/>
    <tableColumn id="31" xr3:uid="{00000000-0010-0000-0B00-00001F000000}" name="J4 TOTAL" dataDxfId="1034">
      <calculatedColumnFormula>Twirling_Solo_Program2891011121314151617[[#This Row],[Judge 4
Bernard Barač]]-U2</calculatedColumnFormula>
    </tableColumn>
    <tableColumn id="7" xr3:uid="{00000000-0010-0000-0B00-000007000000}" name="J4 (Rank)" dataDxfId="1033">
      <calculatedColumnFormula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Row],[Category]],Twirling_Solo_Program2891011121314151617[J4 TOTAL],"&gt;"&amp;Twirling_Solo_Program2891011121314151617[[#This Row],[J4 TOTAL]])+1</calculatedColumnFormula>
    </tableColumn>
    <tableColumn id="20" xr3:uid="{00000000-0010-0000-0B00-000014000000}" name="Total" dataDxfId="1032">
      <calculatedColumnFormula>SUM(Twirling_Solo_Program2891011121314151617[[#This Row],[J1 TOTAL]]+Twirling_Solo_Program2891011121314151617[[#This Row],[J2 TOTAL]]+Twirling_Solo_Program2891011121314151617[[#This Row],[J3 TOTAL]]+Twirling_Solo_Program2891011121314151617[[#This Row],[J4 TOTAL]])</calculatedColumnFormula>
    </tableColumn>
    <tableColumn id="23" xr3:uid="{00000000-0010-0000-0B00-000017000000}" name="Low" dataDxfId="1031">
      <calculatedColumnFormula>MIN(Twirling_Solo_Program2891011121314151617[[#This Row],[J1 TOTAL]],Twirling_Solo_Program2891011121314151617[[#This Row],[J2 TOTAL]],Twirling_Solo_Program2891011121314151617[[#This Row],[J3 TOTAL]],Twirling_Solo_Program2891011121314151617[[#This Row],[J4 TOTAL]])</calculatedColumnFormula>
    </tableColumn>
    <tableColumn id="19" xr3:uid="{00000000-0010-0000-0B00-000013000000}" name="High" dataDxfId="1030">
      <calculatedColumnFormula>MAX(Twirling_Solo_Program2891011121314151617[[#This Row],[J1 TOTAL]],Twirling_Solo_Program2891011121314151617[[#This Row],[J2 TOTAL]],Twirling_Solo_Program2891011121314151617[[#This Row],[J3 TOTAL]],Twirling_Solo_Program2891011121314151617[[#This Row],[J4 TOTAL]])</calculatedColumnFormula>
    </tableColumn>
    <tableColumn id="25" xr3:uid="{00000000-0010-0000-0B00-000019000000}" name="Final Total" dataDxfId="1029">
      <calculatedColumnFormula>SUM(Twirling_Solo_Program2891011121314151617[[#This Row],[Total]]-Twirling_Solo_Program2891011121314151617[[#This Row],[Low]]-Twirling_Solo_Program2891011121314151617[[#This Row],[High]])</calculatedColumnFormula>
    </tableColumn>
    <tableColumn id="24" xr3:uid="{00000000-0010-0000-0B00-000018000000}" name="Avg" dataDxfId="1028">
      <calculatedColumnFormula>AVERAGE(H2,L2,P2,T2)</calculatedColumnFormula>
    </tableColumn>
    <tableColumn id="22" xr3:uid="{00000000-0010-0000-0B00-000016000000}" name="FINAL SCORE" dataDxfId="1027">
      <calculatedColumnFormula>Twirling_Solo_Program2891011121314151617[[#This Row],[Final Total]]</calculatedColumnFormula>
    </tableColumn>
    <tableColumn id="27" xr3:uid="{00000000-0010-0000-0B00-00001B000000}" name="Rank" dataDxfId="1026">
      <calculatedColumnFormula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Row],[Category]],Twirling_Solo_Program2891011121314151617[FINAL SCORE],"&gt;"&amp;Twirling_Solo_Program2891011121314151617[[#This Row],[FINAL SCORE]])+1</calculatedColumnFormula>
    </tableColumn>
    <tableColumn id="39" xr3:uid="{00000000-0010-0000-0B00-000027000000}" name="Category Type" dataDxfId="1025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F000000}" name="Twirling_Solo_Program28910111213141516173738" displayName="Twirling_Solo_Program28910111213141516173738" ref="A1:AE2" totalsRowShown="0" headerRowDxfId="397" dataDxfId="396">
  <autoFilter ref="A1:AE2" xr:uid="{00000000-0009-0000-0100-000025000000}"/>
  <tableColumns count="31">
    <tableColumn id="1" xr3:uid="{00000000-0010-0000-1F00-000001000000}" name="Start No." dataDxfId="428"/>
    <tableColumn id="8" xr3:uid="{00000000-0010-0000-1F00-000008000000}" name="Lane" dataDxfId="427"/>
    <tableColumn id="9" xr3:uid="{00000000-0010-0000-1F00-000009000000}" name="Category" dataDxfId="426"/>
    <tableColumn id="32" xr3:uid="{00000000-0010-0000-1F00-000020000000}" name="Age_x000a_Division" dataDxfId="425"/>
    <tableColumn id="4" xr3:uid="{00000000-0010-0000-1F00-000004000000}" name="Athlete" dataDxfId="424"/>
    <tableColumn id="38" xr3:uid="{00000000-0010-0000-1F00-000026000000}" name="Club" dataDxfId="423"/>
    <tableColumn id="37" xr3:uid="{00000000-0010-0000-1F00-000025000000}" name="Country" dataDxfId="422"/>
    <tableColumn id="15" xr3:uid="{00000000-0010-0000-1F00-00000F000000}" name="Judge 1_x000a_Tamara Beljak" dataDxfId="421"/>
    <tableColumn id="33" xr3:uid="{00000000-0010-0000-1F00-000021000000}" name="J1 (-)" dataDxfId="420"/>
    <tableColumn id="26" xr3:uid="{00000000-0010-0000-1F00-00001A000000}" name="J1 TOTAL" dataDxfId="419">
      <calculatedColumnFormula>Twirling_Solo_Program28910111213141516173738[[#This Row],[Judge 1
Tamara Beljak]]-I2</calculatedColumnFormula>
    </tableColumn>
    <tableColumn id="3" xr3:uid="{00000000-0010-0000-1F00-000003000000}" name="J1 (Rank)" dataDxfId="418">
      <calculatedColumnFormula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Row],[Category]],Twirling_Solo_Program28910111213141516173738[J1 TOTAL],"&gt;"&amp;Twirling_Solo_Program28910111213141516173738[[#This Row],[J1 TOTAL]])+1</calculatedColumnFormula>
    </tableColumn>
    <tableColumn id="16" xr3:uid="{00000000-0010-0000-1F00-000010000000}" name="Judge 2_x000a_Tihomir Bendelja" dataDxfId="417"/>
    <tableColumn id="34" xr3:uid="{00000000-0010-0000-1F00-000022000000}" name="J2 (-)" dataDxfId="416"/>
    <tableColumn id="28" xr3:uid="{00000000-0010-0000-1F00-00001C000000}" name="J2 TOTAL" dataDxfId="415">
      <calculatedColumnFormula>Twirling_Solo_Program28910111213141516173738[[#This Row],[Judge 2
Tihomir Bendelja]]-Twirling_Solo_Program28910111213141516173738[[#This Row],[J2 (-)]]</calculatedColumnFormula>
    </tableColumn>
    <tableColumn id="5" xr3:uid="{00000000-0010-0000-1F00-000005000000}" name="J2 (Rank)" dataDxfId="414">
      <calculatedColumnFormula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Row],[Category]],Twirling_Solo_Program28910111213141516173738[J2 TOTAL],"&gt;"&amp;Twirling_Solo_Program28910111213141516173738[[#This Row],[J2 TOTAL]])+1</calculatedColumnFormula>
    </tableColumn>
    <tableColumn id="17" xr3:uid="{00000000-0010-0000-1F00-000011000000}" name="Judge 3_x000a_Lucija Ljubičić" dataDxfId="413"/>
    <tableColumn id="35" xr3:uid="{00000000-0010-0000-1F00-000023000000}" name="J3 (-)" dataDxfId="412"/>
    <tableColumn id="30" xr3:uid="{00000000-0010-0000-1F00-00001E000000}" name="J3 TOTAL" dataDxfId="411">
      <calculatedColumnFormula>Twirling_Solo_Program28910111213141516173738[[#This Row],[Judge 3
Lucija Ljubičić]]-Q2</calculatedColumnFormula>
    </tableColumn>
    <tableColumn id="6" xr3:uid="{00000000-0010-0000-1F00-000006000000}" name="J3 (Rank)" dataDxfId="410">
      <calculatedColumnFormula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Row],[Category]],Twirling_Solo_Program28910111213141516173738[J3 TOTAL],"&gt;"&amp;Twirling_Solo_Program28910111213141516173738[[#This Row],[J3 TOTAL]])+1</calculatedColumnFormula>
    </tableColumn>
    <tableColumn id="18" xr3:uid="{00000000-0010-0000-1F00-000012000000}" name="Judge 4_x000a_Bernard Barač" dataDxfId="409"/>
    <tableColumn id="36" xr3:uid="{00000000-0010-0000-1F00-000024000000}" name="J4 (-)" dataDxfId="408"/>
    <tableColumn id="31" xr3:uid="{00000000-0010-0000-1F00-00001F000000}" name="J4 TOTAL" dataDxfId="407">
      <calculatedColumnFormula>Twirling_Solo_Program28910111213141516173738[[#This Row],[Judge 4
Bernard Barač]]-U2</calculatedColumnFormula>
    </tableColumn>
    <tableColumn id="7" xr3:uid="{00000000-0010-0000-1F00-000007000000}" name="J4 (Rank)" dataDxfId="406">
      <calculatedColumnFormula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Row],[Category]],Twirling_Solo_Program28910111213141516173738[J4 TOTAL],"&gt;"&amp;Twirling_Solo_Program28910111213141516173738[[#This Row],[J4 TOTAL]])+1</calculatedColumnFormula>
    </tableColumn>
    <tableColumn id="20" xr3:uid="{00000000-0010-0000-1F00-000014000000}" name="Total" dataDxfId="405">
      <calculatedColumnFormula>SUM(Twirling_Solo_Program28910111213141516173738[[#This Row],[J1 TOTAL]]+Twirling_Solo_Program28910111213141516173738[[#This Row],[J2 TOTAL]]+Twirling_Solo_Program28910111213141516173738[[#This Row],[J3 TOTAL]]+Twirling_Solo_Program28910111213141516173738[[#This Row],[J4 TOTAL]])</calculatedColumnFormula>
    </tableColumn>
    <tableColumn id="23" xr3:uid="{00000000-0010-0000-1F00-000017000000}" name="Low" dataDxfId="404">
      <calculatedColumnFormula>MIN(Twirling_Solo_Program28910111213141516173738[[#This Row],[J1 TOTAL]],Twirling_Solo_Program28910111213141516173738[[#This Row],[J2 TOTAL]],Twirling_Solo_Program28910111213141516173738[[#This Row],[J3 TOTAL]],Twirling_Solo_Program28910111213141516173738[[#This Row],[J4 TOTAL]])</calculatedColumnFormula>
    </tableColumn>
    <tableColumn id="19" xr3:uid="{00000000-0010-0000-1F00-000013000000}" name="High" dataDxfId="403">
      <calculatedColumnFormula>MAX(Twirling_Solo_Program28910111213141516173738[[#This Row],[J1 TOTAL]],Twirling_Solo_Program28910111213141516173738[[#This Row],[J2 TOTAL]],Twirling_Solo_Program28910111213141516173738[[#This Row],[J3 TOTAL]],Twirling_Solo_Program28910111213141516173738[[#This Row],[J4 TOTAL]])</calculatedColumnFormula>
    </tableColumn>
    <tableColumn id="25" xr3:uid="{00000000-0010-0000-1F00-000019000000}" name="Final Total" dataDxfId="402">
      <calculatedColumnFormula>SUM(Twirling_Solo_Program28910111213141516173738[[#This Row],[Total]]-Twirling_Solo_Program28910111213141516173738[[#This Row],[Low]]-Twirling_Solo_Program28910111213141516173738[[#This Row],[High]])</calculatedColumnFormula>
    </tableColumn>
    <tableColumn id="24" xr3:uid="{00000000-0010-0000-1F00-000018000000}" name="Avg" dataDxfId="401">
      <calculatedColumnFormula>AVERAGE(H2,L2,P2,T2)</calculatedColumnFormula>
    </tableColumn>
    <tableColumn id="22" xr3:uid="{00000000-0010-0000-1F00-000016000000}" name="FINAL SCORE" dataDxfId="400">
      <calculatedColumnFormula>Twirling_Solo_Program28910111213141516173738[[#This Row],[Final Total]]</calculatedColumnFormula>
    </tableColumn>
    <tableColumn id="27" xr3:uid="{00000000-0010-0000-1F00-00001B000000}" name="Rank" dataDxfId="399">
      <calculatedColumnFormula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Row],[Category]],Twirling_Solo_Program28910111213141516173738[FINAL SCORE],"&gt;"&amp;Twirling_Solo_Program28910111213141516173738[[#This Row],[FINAL SCORE]])+1</calculatedColumnFormula>
    </tableColumn>
    <tableColumn id="39" xr3:uid="{00000000-0010-0000-1F00-000027000000}" name="Category Type" dataDxfId="398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0000000}" name="Twirling_Solo_Program2891011121314151617373839" displayName="Twirling_Solo_Program2891011121314151617373839" ref="A1:AE2" totalsRowShown="0" headerRowDxfId="364" dataDxfId="363">
  <autoFilter ref="A1:AE2" xr:uid="{00000000-0009-0000-0100-000026000000}"/>
  <tableColumns count="31">
    <tableColumn id="1" xr3:uid="{00000000-0010-0000-2000-000001000000}" name="Start No." dataDxfId="395"/>
    <tableColumn id="8" xr3:uid="{00000000-0010-0000-2000-000008000000}" name="Lane" dataDxfId="394"/>
    <tableColumn id="9" xr3:uid="{00000000-0010-0000-2000-000009000000}" name="Category" dataDxfId="393"/>
    <tableColumn id="32" xr3:uid="{00000000-0010-0000-2000-000020000000}" name="Age_x000a_Division" dataDxfId="392"/>
    <tableColumn id="4" xr3:uid="{00000000-0010-0000-2000-000004000000}" name="Athlete" dataDxfId="391"/>
    <tableColumn id="38" xr3:uid="{00000000-0010-0000-2000-000026000000}" name="Club" dataDxfId="390"/>
    <tableColumn id="37" xr3:uid="{00000000-0010-0000-2000-000025000000}" name="Country" dataDxfId="389"/>
    <tableColumn id="15" xr3:uid="{00000000-0010-0000-2000-00000F000000}" name="Judge 1_x000a_Tamara Beljak" dataDxfId="388"/>
    <tableColumn id="33" xr3:uid="{00000000-0010-0000-2000-000021000000}" name="J1 (-)" dataDxfId="387"/>
    <tableColumn id="26" xr3:uid="{00000000-0010-0000-2000-00001A000000}" name="J1 TOTAL" dataDxfId="386">
      <calculatedColumnFormula>Twirling_Solo_Program2891011121314151617373839[[#This Row],[Judge 1
Tamara Beljak]]-I2</calculatedColumnFormula>
    </tableColumn>
    <tableColumn id="3" xr3:uid="{00000000-0010-0000-2000-000003000000}" name="J1 (Rank)" dataDxfId="385">
      <calculatedColumnFormula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Row],[Category]],Twirling_Solo_Program2891011121314151617373839[J1 TOTAL],"&gt;"&amp;Twirling_Solo_Program2891011121314151617373839[[#This Row],[J1 TOTAL]])+1</calculatedColumnFormula>
    </tableColumn>
    <tableColumn id="16" xr3:uid="{00000000-0010-0000-2000-000010000000}" name="Judge 2_x000a_Tihomir Bendelja" dataDxfId="384"/>
    <tableColumn id="34" xr3:uid="{00000000-0010-0000-2000-000022000000}" name="J2 (-)" dataDxfId="383"/>
    <tableColumn id="28" xr3:uid="{00000000-0010-0000-2000-00001C000000}" name="J2 TOTAL" dataDxfId="382">
      <calculatedColumnFormula>Twirling_Solo_Program2891011121314151617373839[[#This Row],[Judge 2
Tihomir Bendelja]]-Twirling_Solo_Program2891011121314151617373839[[#This Row],[J2 (-)]]</calculatedColumnFormula>
    </tableColumn>
    <tableColumn id="5" xr3:uid="{00000000-0010-0000-2000-000005000000}" name="J2 (Rank)" dataDxfId="381">
      <calculatedColumnFormula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Row],[Category]],Twirling_Solo_Program2891011121314151617373839[J2 TOTAL],"&gt;"&amp;Twirling_Solo_Program2891011121314151617373839[[#This Row],[J2 TOTAL]])+1</calculatedColumnFormula>
    </tableColumn>
    <tableColumn id="17" xr3:uid="{00000000-0010-0000-2000-000011000000}" name="Judge 3_x000a_Lucija Ljubičić" dataDxfId="380"/>
    <tableColumn id="35" xr3:uid="{00000000-0010-0000-2000-000023000000}" name="J3 (-)" dataDxfId="379"/>
    <tableColumn id="30" xr3:uid="{00000000-0010-0000-2000-00001E000000}" name="J3 TOTAL" dataDxfId="378">
      <calculatedColumnFormula>Twirling_Solo_Program2891011121314151617373839[[#This Row],[Judge 3
Lucija Ljubičić]]-Q2</calculatedColumnFormula>
    </tableColumn>
    <tableColumn id="6" xr3:uid="{00000000-0010-0000-2000-000006000000}" name="J3 (Rank)" dataDxfId="377">
      <calculatedColumnFormula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Row],[Category]],Twirling_Solo_Program2891011121314151617373839[J3 TOTAL],"&gt;"&amp;Twirling_Solo_Program2891011121314151617373839[[#This Row],[J3 TOTAL]])+1</calculatedColumnFormula>
    </tableColumn>
    <tableColumn id="18" xr3:uid="{00000000-0010-0000-2000-000012000000}" name="Judge 4_x000a_Bernard Barač" dataDxfId="376"/>
    <tableColumn id="36" xr3:uid="{00000000-0010-0000-2000-000024000000}" name="J4 (-)" dataDxfId="375"/>
    <tableColumn id="31" xr3:uid="{00000000-0010-0000-2000-00001F000000}" name="J4 TOTAL" dataDxfId="374">
      <calculatedColumnFormula>Twirling_Solo_Program2891011121314151617373839[[#This Row],[Judge 4
Bernard Barač]]-U2</calculatedColumnFormula>
    </tableColumn>
    <tableColumn id="7" xr3:uid="{00000000-0010-0000-2000-000007000000}" name="J4 (Rank)" dataDxfId="373">
      <calculatedColumnFormula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Row],[Category]],Twirling_Solo_Program2891011121314151617373839[J4 TOTAL],"&gt;"&amp;Twirling_Solo_Program2891011121314151617373839[[#This Row],[J4 TOTAL]])+1</calculatedColumnFormula>
    </tableColumn>
    <tableColumn id="20" xr3:uid="{00000000-0010-0000-2000-000014000000}" name="Total" dataDxfId="372">
      <calculatedColumnFormula>SUM(Twirling_Solo_Program2891011121314151617373839[[#This Row],[J1 TOTAL]]+Twirling_Solo_Program2891011121314151617373839[[#This Row],[J2 TOTAL]]+Twirling_Solo_Program2891011121314151617373839[[#This Row],[J3 TOTAL]]+Twirling_Solo_Program2891011121314151617373839[[#This Row],[J4 TOTAL]])</calculatedColumnFormula>
    </tableColumn>
    <tableColumn id="23" xr3:uid="{00000000-0010-0000-2000-000017000000}" name="Low" dataDxfId="371">
      <calculatedColumnFormula>MIN(Twirling_Solo_Program2891011121314151617373839[[#This Row],[J1 TOTAL]],Twirling_Solo_Program2891011121314151617373839[[#This Row],[J2 TOTAL]],Twirling_Solo_Program2891011121314151617373839[[#This Row],[J3 TOTAL]],Twirling_Solo_Program2891011121314151617373839[[#This Row],[J4 TOTAL]])</calculatedColumnFormula>
    </tableColumn>
    <tableColumn id="19" xr3:uid="{00000000-0010-0000-2000-000013000000}" name="High" dataDxfId="370">
      <calculatedColumnFormula>MAX(Twirling_Solo_Program2891011121314151617373839[[#This Row],[J1 TOTAL]],Twirling_Solo_Program2891011121314151617373839[[#This Row],[J2 TOTAL]],Twirling_Solo_Program2891011121314151617373839[[#This Row],[J3 TOTAL]],Twirling_Solo_Program2891011121314151617373839[[#This Row],[J4 TOTAL]])</calculatedColumnFormula>
    </tableColumn>
    <tableColumn id="25" xr3:uid="{00000000-0010-0000-2000-000019000000}" name="Final Total" dataDxfId="369">
      <calculatedColumnFormula>SUM(Twirling_Solo_Program2891011121314151617373839[[#This Row],[Total]]-Twirling_Solo_Program2891011121314151617373839[[#This Row],[Low]]-Twirling_Solo_Program2891011121314151617373839[[#This Row],[High]])</calculatedColumnFormula>
    </tableColumn>
    <tableColumn id="24" xr3:uid="{00000000-0010-0000-2000-000018000000}" name="Avg" dataDxfId="368">
      <calculatedColumnFormula>AVERAGE(H2,L2,P2,T2)</calculatedColumnFormula>
    </tableColumn>
    <tableColumn id="22" xr3:uid="{00000000-0010-0000-2000-000016000000}" name="FINAL SCORE" dataDxfId="367">
      <calculatedColumnFormula>Twirling_Solo_Program2891011121314151617373839[[#This Row],[Final Total]]</calculatedColumnFormula>
    </tableColumn>
    <tableColumn id="27" xr3:uid="{00000000-0010-0000-2000-00001B000000}" name="Rank" dataDxfId="366">
      <calculatedColumnFormula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Row],[Category]],Twirling_Solo_Program2891011121314151617373839[FINAL SCORE],"&gt;"&amp;Twirling_Solo_Program2891011121314151617373839[[#This Row],[FINAL SCORE]])+1</calculatedColumnFormula>
    </tableColumn>
    <tableColumn id="39" xr3:uid="{00000000-0010-0000-2000-000027000000}" name="Category Type" dataDxfId="365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9000000}" name="Twirling_Solo_Program289101112131415161737383940464748" displayName="Twirling_Solo_Program289101112131415161737383940464748" ref="A1:AE4" totalsRowShown="0" headerRowDxfId="67" dataDxfId="66">
  <autoFilter ref="A1:AE4" xr:uid="{00000000-0009-0000-0100-00002F000000}"/>
  <sortState xmlns:xlrd2="http://schemas.microsoft.com/office/spreadsheetml/2017/richdata2" ref="A2:AE4">
    <sortCondition ref="AD2:AD4"/>
  </sortState>
  <tableColumns count="31">
    <tableColumn id="1" xr3:uid="{00000000-0010-0000-2900-000001000000}" name="Start No." dataDxfId="98"/>
    <tableColumn id="8" xr3:uid="{00000000-0010-0000-2900-000008000000}" name="Lane" dataDxfId="97"/>
    <tableColumn id="9" xr3:uid="{00000000-0010-0000-2900-000009000000}" name="Category" dataDxfId="96"/>
    <tableColumn id="32" xr3:uid="{00000000-0010-0000-2900-000020000000}" name="Age_x000a_Division" dataDxfId="95"/>
    <tableColumn id="4" xr3:uid="{00000000-0010-0000-2900-000004000000}" name="Athlete" dataDxfId="94"/>
    <tableColumn id="38" xr3:uid="{00000000-0010-0000-2900-000026000000}" name="Club" dataDxfId="93"/>
    <tableColumn id="37" xr3:uid="{00000000-0010-0000-2900-000025000000}" name="Country" dataDxfId="92"/>
    <tableColumn id="15" xr3:uid="{00000000-0010-0000-2900-00000F000000}" name="Judge 1_x000a_Tamara Beljak" dataDxfId="91"/>
    <tableColumn id="33" xr3:uid="{00000000-0010-0000-2900-000021000000}" name="J1 (-)" dataDxfId="90"/>
    <tableColumn id="26" xr3:uid="{00000000-0010-0000-2900-00001A000000}" name="J1 TOTAL" dataDxfId="89">
      <calculatedColumnFormula>Twirling_Solo_Program289101112131415161737383940464748[[#This Row],[Judge 1
Tamara Beljak]]-I2</calculatedColumnFormula>
    </tableColumn>
    <tableColumn id="3" xr3:uid="{00000000-0010-0000-2900-000003000000}" name="J1 (Rank)" dataDxfId="88">
      <calculatedColumnFormula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Row],[Category]],Twirling_Solo_Program289101112131415161737383940464748[J1 TOTAL],"&gt;"&amp;Twirling_Solo_Program289101112131415161737383940464748[[#This Row],[J1 TOTAL]])+1</calculatedColumnFormula>
    </tableColumn>
    <tableColumn id="16" xr3:uid="{00000000-0010-0000-2900-000010000000}" name="Judge 2_x000a_Tihomir Bendelja" dataDxfId="87"/>
    <tableColumn id="34" xr3:uid="{00000000-0010-0000-2900-000022000000}" name="J2 (-)" dataDxfId="86"/>
    <tableColumn id="28" xr3:uid="{00000000-0010-0000-2900-00001C000000}" name="J2 TOTAL" dataDxfId="85">
      <calculatedColumnFormula>Twirling_Solo_Program289101112131415161737383940464748[[#This Row],[Judge 2
Tihomir Bendelja]]-Twirling_Solo_Program289101112131415161737383940464748[[#This Row],[J2 (-)]]</calculatedColumnFormula>
    </tableColumn>
    <tableColumn id="5" xr3:uid="{00000000-0010-0000-2900-000005000000}" name="J2 (Rank)" dataDxfId="84">
      <calculatedColumnFormula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Row],[Category]],Twirling_Solo_Program289101112131415161737383940464748[J2 TOTAL],"&gt;"&amp;Twirling_Solo_Program289101112131415161737383940464748[[#This Row],[J2 TOTAL]])+1</calculatedColumnFormula>
    </tableColumn>
    <tableColumn id="17" xr3:uid="{00000000-0010-0000-2900-000011000000}" name="Judge 3_x000a_Lucija Ljubičić" dataDxfId="83"/>
    <tableColumn id="35" xr3:uid="{00000000-0010-0000-2900-000023000000}" name="J3 (-)" dataDxfId="82"/>
    <tableColumn id="30" xr3:uid="{00000000-0010-0000-2900-00001E000000}" name="J3 TOTAL" dataDxfId="81">
      <calculatedColumnFormula>Twirling_Solo_Program289101112131415161737383940464748[[#This Row],[Judge 3
Lucija Ljubičić]]-Q2</calculatedColumnFormula>
    </tableColumn>
    <tableColumn id="6" xr3:uid="{00000000-0010-0000-2900-000006000000}" name="J3 (Rank)" dataDxfId="80">
      <calculatedColumnFormula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Row],[Category]],Twirling_Solo_Program289101112131415161737383940464748[J3 TOTAL],"&gt;"&amp;Twirling_Solo_Program289101112131415161737383940464748[[#This Row],[J3 TOTAL]])+1</calculatedColumnFormula>
    </tableColumn>
    <tableColumn id="18" xr3:uid="{00000000-0010-0000-2900-000012000000}" name="Judge 4_x000a_Bernard Barač" dataDxfId="79"/>
    <tableColumn id="36" xr3:uid="{00000000-0010-0000-2900-000024000000}" name="J4 (-)" dataDxfId="78"/>
    <tableColumn id="31" xr3:uid="{00000000-0010-0000-2900-00001F000000}" name="J4 TOTAL" dataDxfId="77">
      <calculatedColumnFormula>Twirling_Solo_Program289101112131415161737383940464748[[#This Row],[Judge 4
Bernard Barač]]-U2</calculatedColumnFormula>
    </tableColumn>
    <tableColumn id="7" xr3:uid="{00000000-0010-0000-2900-000007000000}" name="J4 (Rank)" dataDxfId="76">
      <calculatedColumnFormula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Row],[Category]],Twirling_Solo_Program289101112131415161737383940464748[J4 TOTAL],"&gt;"&amp;Twirling_Solo_Program289101112131415161737383940464748[[#This Row],[J4 TOTAL]])+1</calculatedColumnFormula>
    </tableColumn>
    <tableColumn id="20" xr3:uid="{00000000-0010-0000-2900-000014000000}" name="Total" dataDxfId="75">
      <calculatedColumnFormula>SUM(Twirling_Solo_Program289101112131415161737383940464748[[#This Row],[J1 TOTAL]]+Twirling_Solo_Program289101112131415161737383940464748[[#This Row],[J2 TOTAL]]+Twirling_Solo_Program289101112131415161737383940464748[[#This Row],[J3 TOTAL]]+Twirling_Solo_Program289101112131415161737383940464748[[#This Row],[J4 TOTAL]])</calculatedColumnFormula>
    </tableColumn>
    <tableColumn id="23" xr3:uid="{00000000-0010-0000-2900-000017000000}" name="Low" dataDxfId="74">
      <calculatedColumnFormula>MIN(Twirling_Solo_Program289101112131415161737383940464748[[#This Row],[J1 TOTAL]],Twirling_Solo_Program289101112131415161737383940464748[[#This Row],[J2 TOTAL]],Twirling_Solo_Program289101112131415161737383940464748[[#This Row],[J3 TOTAL]],Twirling_Solo_Program289101112131415161737383940464748[[#This Row],[J4 TOTAL]])</calculatedColumnFormula>
    </tableColumn>
    <tableColumn id="19" xr3:uid="{00000000-0010-0000-2900-000013000000}" name="High" dataDxfId="73">
      <calculatedColumnFormula>MAX(Twirling_Solo_Program289101112131415161737383940464748[[#This Row],[J1 TOTAL]],Twirling_Solo_Program289101112131415161737383940464748[[#This Row],[J2 TOTAL]],Twirling_Solo_Program289101112131415161737383940464748[[#This Row],[J3 TOTAL]],Twirling_Solo_Program289101112131415161737383940464748[[#This Row],[J4 TOTAL]])</calculatedColumnFormula>
    </tableColumn>
    <tableColumn id="25" xr3:uid="{00000000-0010-0000-2900-000019000000}" name="Final Total" dataDxfId="72">
      <calculatedColumnFormula>SUM(Twirling_Solo_Program289101112131415161737383940464748[[#This Row],[Total]]-Twirling_Solo_Program289101112131415161737383940464748[[#This Row],[Low]]-Twirling_Solo_Program289101112131415161737383940464748[[#This Row],[High]])</calculatedColumnFormula>
    </tableColumn>
    <tableColumn id="24" xr3:uid="{00000000-0010-0000-2900-000018000000}" name="Avg" dataDxfId="71">
      <calculatedColumnFormula>AVERAGE(H2,L2,P2,T2)</calculatedColumnFormula>
    </tableColumn>
    <tableColumn id="22" xr3:uid="{00000000-0010-0000-2900-000016000000}" name="FINAL SCORE" dataDxfId="70">
      <calculatedColumnFormula>Twirling_Solo_Program289101112131415161737383940464748[[#This Row],[Final Total]]</calculatedColumnFormula>
    </tableColumn>
    <tableColumn id="27" xr3:uid="{00000000-0010-0000-2900-00001B000000}" name="Rank" dataDxfId="69">
      <calculatedColumnFormula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Row],[Category]],Twirling_Solo_Program289101112131415161737383940464748[FINAL SCORE],"&gt;"&amp;Twirling_Solo_Program289101112131415161737383940464748[[#This Row],[FINAL SCORE]])+1</calculatedColumnFormula>
    </tableColumn>
    <tableColumn id="39" xr3:uid="{00000000-0010-0000-2900-000027000000}" name="Category Type" dataDxfId="68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A000000}" name="Twirling_Solo_Program28910111213141516173738394046474849" displayName="Twirling_Solo_Program28910111213141516173738394046474849" ref="A1:AE2" totalsRowShown="0" headerRowDxfId="34" dataDxfId="33">
  <autoFilter ref="A1:AE2" xr:uid="{00000000-0009-0000-0100-000030000000}"/>
  <tableColumns count="31">
    <tableColumn id="1" xr3:uid="{00000000-0010-0000-2A00-000001000000}" name="Start No." dataDxfId="65"/>
    <tableColumn id="8" xr3:uid="{00000000-0010-0000-2A00-000008000000}" name="Lane" dataDxfId="64"/>
    <tableColumn id="9" xr3:uid="{00000000-0010-0000-2A00-000009000000}" name="Category" dataDxfId="63"/>
    <tableColumn id="32" xr3:uid="{00000000-0010-0000-2A00-000020000000}" name="Age_x000a_Division" dataDxfId="62"/>
    <tableColumn id="4" xr3:uid="{00000000-0010-0000-2A00-000004000000}" name="Athlete" dataDxfId="61"/>
    <tableColumn id="38" xr3:uid="{00000000-0010-0000-2A00-000026000000}" name="Club" dataDxfId="60"/>
    <tableColumn id="37" xr3:uid="{00000000-0010-0000-2A00-000025000000}" name="Country" dataDxfId="59"/>
    <tableColumn id="15" xr3:uid="{00000000-0010-0000-2A00-00000F000000}" name="Judge 1_x000a_Tamara Beljak" dataDxfId="58"/>
    <tableColumn id="33" xr3:uid="{00000000-0010-0000-2A00-000021000000}" name="J1 (-)" dataDxfId="57"/>
    <tableColumn id="26" xr3:uid="{00000000-0010-0000-2A00-00001A000000}" name="J1 TOTAL" dataDxfId="56">
      <calculatedColumnFormula>Twirling_Solo_Program28910111213141516173738394046474849[[#This Row],[Judge 1
Tamara Beljak]]-I2</calculatedColumnFormula>
    </tableColumn>
    <tableColumn id="3" xr3:uid="{00000000-0010-0000-2A00-000003000000}" name="J1 (Rank)" dataDxfId="55">
      <calculatedColumnFormula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Row],[Category]],Twirling_Solo_Program28910111213141516173738394046474849[J1 TOTAL],"&gt;"&amp;Twirling_Solo_Program28910111213141516173738394046474849[[#This Row],[J1 TOTAL]])+1</calculatedColumnFormula>
    </tableColumn>
    <tableColumn id="16" xr3:uid="{00000000-0010-0000-2A00-000010000000}" name="Judge 2_x000a_Tihomir Bendelja" dataDxfId="54"/>
    <tableColumn id="34" xr3:uid="{00000000-0010-0000-2A00-000022000000}" name="J2 (-)" dataDxfId="53"/>
    <tableColumn id="28" xr3:uid="{00000000-0010-0000-2A00-00001C000000}" name="J2 TOTAL" dataDxfId="52">
      <calculatedColumnFormula>Twirling_Solo_Program28910111213141516173738394046474849[[#This Row],[Judge 2
Tihomir Bendelja]]-Twirling_Solo_Program28910111213141516173738394046474849[[#This Row],[J2 (-)]]</calculatedColumnFormula>
    </tableColumn>
    <tableColumn id="5" xr3:uid="{00000000-0010-0000-2A00-000005000000}" name="J2 (Rank)" dataDxfId="51">
      <calculatedColumnFormula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Row],[Category]],Twirling_Solo_Program28910111213141516173738394046474849[J2 TOTAL],"&gt;"&amp;Twirling_Solo_Program28910111213141516173738394046474849[[#This Row],[J2 TOTAL]])+1</calculatedColumnFormula>
    </tableColumn>
    <tableColumn id="17" xr3:uid="{00000000-0010-0000-2A00-000011000000}" name="Judge 3_x000a_Lucija Ljubičić" dataDxfId="50"/>
    <tableColumn id="35" xr3:uid="{00000000-0010-0000-2A00-000023000000}" name="J3 (-)" dataDxfId="49"/>
    <tableColumn id="30" xr3:uid="{00000000-0010-0000-2A00-00001E000000}" name="J3 TOTAL" dataDxfId="48">
      <calculatedColumnFormula>Twirling_Solo_Program28910111213141516173738394046474849[[#This Row],[Judge 3
Lucija Ljubičić]]-Q2</calculatedColumnFormula>
    </tableColumn>
    <tableColumn id="6" xr3:uid="{00000000-0010-0000-2A00-000006000000}" name="J3 (Rank)" dataDxfId="47">
      <calculatedColumnFormula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Row],[Category]],Twirling_Solo_Program28910111213141516173738394046474849[J3 TOTAL],"&gt;"&amp;Twirling_Solo_Program28910111213141516173738394046474849[[#This Row],[J3 TOTAL]])+1</calculatedColumnFormula>
    </tableColumn>
    <tableColumn id="18" xr3:uid="{00000000-0010-0000-2A00-000012000000}" name="Judge 4_x000a_Bernard Barač" dataDxfId="46"/>
    <tableColumn id="36" xr3:uid="{00000000-0010-0000-2A00-000024000000}" name="J4 (-)" dataDxfId="45"/>
    <tableColumn id="31" xr3:uid="{00000000-0010-0000-2A00-00001F000000}" name="J4 TOTAL" dataDxfId="44">
      <calculatedColumnFormula>Twirling_Solo_Program28910111213141516173738394046474849[[#This Row],[Judge 4
Bernard Barač]]-U2</calculatedColumnFormula>
    </tableColumn>
    <tableColumn id="7" xr3:uid="{00000000-0010-0000-2A00-000007000000}" name="J4 (Rank)" dataDxfId="43">
      <calculatedColumnFormula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Row],[Category]],Twirling_Solo_Program28910111213141516173738394046474849[J4 TOTAL],"&gt;"&amp;Twirling_Solo_Program28910111213141516173738394046474849[[#This Row],[J4 TOTAL]])+1</calculatedColumnFormula>
    </tableColumn>
    <tableColumn id="20" xr3:uid="{00000000-0010-0000-2A00-000014000000}" name="Total" dataDxfId="42">
      <calculatedColumnFormula>SUM(Twirling_Solo_Program28910111213141516173738394046474849[[#This Row],[J1 TOTAL]]+Twirling_Solo_Program28910111213141516173738394046474849[[#This Row],[J2 TOTAL]]+Twirling_Solo_Program28910111213141516173738394046474849[[#This Row],[J3 TOTAL]]+Twirling_Solo_Program28910111213141516173738394046474849[[#This Row],[J4 TOTAL]])</calculatedColumnFormula>
    </tableColumn>
    <tableColumn id="23" xr3:uid="{00000000-0010-0000-2A00-000017000000}" name="Low" dataDxfId="41">
      <calculatedColumnFormula>MIN(Twirling_Solo_Program28910111213141516173738394046474849[[#This Row],[J1 TOTAL]],Twirling_Solo_Program28910111213141516173738394046474849[[#This Row],[J2 TOTAL]],Twirling_Solo_Program28910111213141516173738394046474849[[#This Row],[J3 TOTAL]],Twirling_Solo_Program28910111213141516173738394046474849[[#This Row],[J4 TOTAL]])</calculatedColumnFormula>
    </tableColumn>
    <tableColumn id="19" xr3:uid="{00000000-0010-0000-2A00-000013000000}" name="High" dataDxfId="40">
      <calculatedColumnFormula>MAX(Twirling_Solo_Program28910111213141516173738394046474849[[#This Row],[J1 TOTAL]],Twirling_Solo_Program28910111213141516173738394046474849[[#This Row],[J2 TOTAL]],Twirling_Solo_Program28910111213141516173738394046474849[[#This Row],[J3 TOTAL]],Twirling_Solo_Program28910111213141516173738394046474849[[#This Row],[J4 TOTAL]])</calculatedColumnFormula>
    </tableColumn>
    <tableColumn id="25" xr3:uid="{00000000-0010-0000-2A00-000019000000}" name="Final Total" dataDxfId="39">
      <calculatedColumnFormula>SUM(Twirling_Solo_Program28910111213141516173738394046474849[[#This Row],[Total]]-Twirling_Solo_Program28910111213141516173738394046474849[[#This Row],[Low]]-Twirling_Solo_Program28910111213141516173738394046474849[[#This Row],[High]])</calculatedColumnFormula>
    </tableColumn>
    <tableColumn id="24" xr3:uid="{00000000-0010-0000-2A00-000018000000}" name="Avg" dataDxfId="38">
      <calculatedColumnFormula>AVERAGE(H2,L2,P2,T2)</calculatedColumnFormula>
    </tableColumn>
    <tableColumn id="22" xr3:uid="{00000000-0010-0000-2A00-000016000000}" name="FINAL SCORE" dataDxfId="37">
      <calculatedColumnFormula>Twirling_Solo_Program28910111213141516173738394046474849[[#This Row],[Final Total]]</calculatedColumnFormula>
    </tableColumn>
    <tableColumn id="27" xr3:uid="{00000000-0010-0000-2A00-00001B000000}" name="Rank" dataDxfId="36">
      <calculatedColumnFormula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Row],[Category]],Twirling_Solo_Program28910111213141516173738394046474849[FINAL SCORE],"&gt;"&amp;Twirling_Solo_Program28910111213141516173738394046474849[[#This Row],[FINAL SCORE]])+1</calculatedColumnFormula>
    </tableColumn>
    <tableColumn id="39" xr3:uid="{00000000-0010-0000-2A00-000027000000}" name="Category Type" dataDxfId="35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1000000}" name="Twirling_Solo_Program289101112131415161737383940" displayName="Twirling_Solo_Program289101112131415161737383940" ref="A1:AE2" totalsRowShown="0" headerRowDxfId="331" dataDxfId="330">
  <autoFilter ref="A1:AE2" xr:uid="{00000000-0009-0000-0100-000027000000}"/>
  <tableColumns count="31">
    <tableColumn id="1" xr3:uid="{00000000-0010-0000-2100-000001000000}" name="Start No." dataDxfId="362"/>
    <tableColumn id="8" xr3:uid="{00000000-0010-0000-2100-000008000000}" name="Lane" dataDxfId="361"/>
    <tableColumn id="9" xr3:uid="{00000000-0010-0000-2100-000009000000}" name="Category" dataDxfId="360"/>
    <tableColumn id="32" xr3:uid="{00000000-0010-0000-2100-000020000000}" name="Age_x000a_Division" dataDxfId="359"/>
    <tableColumn id="4" xr3:uid="{00000000-0010-0000-2100-000004000000}" name="Athlete" dataDxfId="358"/>
    <tableColumn id="38" xr3:uid="{00000000-0010-0000-2100-000026000000}" name="Club" dataDxfId="357"/>
    <tableColumn id="37" xr3:uid="{00000000-0010-0000-2100-000025000000}" name="Country" dataDxfId="356"/>
    <tableColumn id="15" xr3:uid="{00000000-0010-0000-2100-00000F000000}" name="Judge 1_x000a_Tamara Beljak" dataDxfId="355"/>
    <tableColumn id="33" xr3:uid="{00000000-0010-0000-2100-000021000000}" name="J1 (-)" dataDxfId="354"/>
    <tableColumn id="26" xr3:uid="{00000000-0010-0000-2100-00001A000000}" name="J1 TOTAL" dataDxfId="353">
      <calculatedColumnFormula>Twirling_Solo_Program289101112131415161737383940[[#This Row],[Judge 1
Tamara Beljak]]-I2</calculatedColumnFormula>
    </tableColumn>
    <tableColumn id="3" xr3:uid="{00000000-0010-0000-2100-000003000000}" name="J1 (Rank)" dataDxfId="352">
      <calculatedColumnFormula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Row],[Category]],Twirling_Solo_Program289101112131415161737383940[J1 TOTAL],"&gt;"&amp;Twirling_Solo_Program289101112131415161737383940[[#This Row],[J1 TOTAL]])+1</calculatedColumnFormula>
    </tableColumn>
    <tableColumn id="16" xr3:uid="{00000000-0010-0000-2100-000010000000}" name="Judge 2_x000a_Tihomir Bendelja" dataDxfId="351"/>
    <tableColumn id="34" xr3:uid="{00000000-0010-0000-2100-000022000000}" name="J2 (-)" dataDxfId="350"/>
    <tableColumn id="28" xr3:uid="{00000000-0010-0000-2100-00001C000000}" name="J2 TOTAL" dataDxfId="349">
      <calculatedColumnFormula>Twirling_Solo_Program289101112131415161737383940[[#This Row],[Judge 2
Tihomir Bendelja]]-Twirling_Solo_Program289101112131415161737383940[[#This Row],[J2 (-)]]</calculatedColumnFormula>
    </tableColumn>
    <tableColumn id="5" xr3:uid="{00000000-0010-0000-2100-000005000000}" name="J2 (Rank)" dataDxfId="348">
      <calculatedColumnFormula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Row],[Category]],Twirling_Solo_Program289101112131415161737383940[J2 TOTAL],"&gt;"&amp;Twirling_Solo_Program289101112131415161737383940[[#This Row],[J2 TOTAL]])+1</calculatedColumnFormula>
    </tableColumn>
    <tableColumn id="17" xr3:uid="{00000000-0010-0000-2100-000011000000}" name="Judge 3_x000a_Lucija Ljubičić" dataDxfId="347"/>
    <tableColumn id="35" xr3:uid="{00000000-0010-0000-2100-000023000000}" name="J3 (-)" dataDxfId="346"/>
    <tableColumn id="30" xr3:uid="{00000000-0010-0000-2100-00001E000000}" name="J3 TOTAL" dataDxfId="345">
      <calculatedColumnFormula>Twirling_Solo_Program289101112131415161737383940[[#This Row],[Judge 3
Lucija Ljubičić]]-Q2</calculatedColumnFormula>
    </tableColumn>
    <tableColumn id="6" xr3:uid="{00000000-0010-0000-2100-000006000000}" name="J3 (Rank)" dataDxfId="344">
      <calculatedColumnFormula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Row],[Category]],Twirling_Solo_Program289101112131415161737383940[J3 TOTAL],"&gt;"&amp;Twirling_Solo_Program289101112131415161737383940[[#This Row],[J3 TOTAL]])+1</calculatedColumnFormula>
    </tableColumn>
    <tableColumn id="18" xr3:uid="{00000000-0010-0000-2100-000012000000}" name="Judge 4_x000a_Bernard Barač" dataDxfId="343"/>
    <tableColumn id="36" xr3:uid="{00000000-0010-0000-2100-000024000000}" name="J4 (-)" dataDxfId="342"/>
    <tableColumn id="31" xr3:uid="{00000000-0010-0000-2100-00001F000000}" name="J4 TOTAL" dataDxfId="341">
      <calculatedColumnFormula>Twirling_Solo_Program289101112131415161737383940[[#This Row],[Judge 4
Bernard Barač]]-U2</calculatedColumnFormula>
    </tableColumn>
    <tableColumn id="7" xr3:uid="{00000000-0010-0000-2100-000007000000}" name="J4 (Rank)" dataDxfId="340">
      <calculatedColumnFormula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Row],[Category]],Twirling_Solo_Program289101112131415161737383940[J4 TOTAL],"&gt;"&amp;Twirling_Solo_Program289101112131415161737383940[[#This Row],[J4 TOTAL]])+1</calculatedColumnFormula>
    </tableColumn>
    <tableColumn id="20" xr3:uid="{00000000-0010-0000-2100-000014000000}" name="Total" dataDxfId="339">
      <calculatedColumnFormula>SUM(Twirling_Solo_Program289101112131415161737383940[[#This Row],[J1 TOTAL]]+Twirling_Solo_Program289101112131415161737383940[[#This Row],[J2 TOTAL]]+Twirling_Solo_Program289101112131415161737383940[[#This Row],[J3 TOTAL]]+Twirling_Solo_Program289101112131415161737383940[[#This Row],[J4 TOTAL]])</calculatedColumnFormula>
    </tableColumn>
    <tableColumn id="23" xr3:uid="{00000000-0010-0000-2100-000017000000}" name="Low" dataDxfId="338">
      <calculatedColumnFormula>MIN(Twirling_Solo_Program289101112131415161737383940[[#This Row],[J1 TOTAL]],Twirling_Solo_Program289101112131415161737383940[[#This Row],[J2 TOTAL]],Twirling_Solo_Program289101112131415161737383940[[#This Row],[J3 TOTAL]],Twirling_Solo_Program289101112131415161737383940[[#This Row],[J4 TOTAL]])</calculatedColumnFormula>
    </tableColumn>
    <tableColumn id="19" xr3:uid="{00000000-0010-0000-2100-000013000000}" name="High" dataDxfId="337">
      <calculatedColumnFormula>MAX(Twirling_Solo_Program289101112131415161737383940[[#This Row],[J1 TOTAL]],Twirling_Solo_Program289101112131415161737383940[[#This Row],[J2 TOTAL]],Twirling_Solo_Program289101112131415161737383940[[#This Row],[J3 TOTAL]],Twirling_Solo_Program289101112131415161737383940[[#This Row],[J4 TOTAL]])</calculatedColumnFormula>
    </tableColumn>
    <tableColumn id="25" xr3:uid="{00000000-0010-0000-2100-000019000000}" name="Final Total" dataDxfId="336">
      <calculatedColumnFormula>SUM(Twirling_Solo_Program289101112131415161737383940[[#This Row],[Total]]-Twirling_Solo_Program289101112131415161737383940[[#This Row],[Low]]-Twirling_Solo_Program289101112131415161737383940[[#This Row],[High]])</calculatedColumnFormula>
    </tableColumn>
    <tableColumn id="24" xr3:uid="{00000000-0010-0000-2100-000018000000}" name="Avg" dataDxfId="335">
      <calculatedColumnFormula>AVERAGE(H2,L2,P2,T2)</calculatedColumnFormula>
    </tableColumn>
    <tableColumn id="22" xr3:uid="{00000000-0010-0000-2100-000016000000}" name="FINAL SCORE" dataDxfId="334">
      <calculatedColumnFormula>Twirling_Solo_Program289101112131415161737383940[[#This Row],[Final Total]]</calculatedColumnFormula>
    </tableColumn>
    <tableColumn id="27" xr3:uid="{00000000-0010-0000-2100-00001B000000}" name="Rank" dataDxfId="333">
      <calculatedColumnFormula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Row],[Category]],Twirling_Solo_Program289101112131415161737383940[FINAL SCORE],"&gt;"&amp;Twirling_Solo_Program289101112131415161737383940[[#This Row],[FINAL SCORE]])+1</calculatedColumnFormula>
    </tableColumn>
    <tableColumn id="39" xr3:uid="{00000000-0010-0000-2100-000027000000}" name="Category Type" dataDxfId="332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7000000}" name="Twirling_Solo_Program28910111213141516173738394046" displayName="Twirling_Solo_Program28910111213141516173738394046" ref="A1:AE4" totalsRowShown="0" headerRowDxfId="133" dataDxfId="132">
  <autoFilter ref="A1:AE4" xr:uid="{00000000-0009-0000-0100-00002D000000}"/>
  <sortState xmlns:xlrd2="http://schemas.microsoft.com/office/spreadsheetml/2017/richdata2" ref="A2:AE4">
    <sortCondition ref="AD2:AD4"/>
  </sortState>
  <tableColumns count="31">
    <tableColumn id="1" xr3:uid="{00000000-0010-0000-2700-000001000000}" name="Start No." dataDxfId="164"/>
    <tableColumn id="8" xr3:uid="{00000000-0010-0000-2700-000008000000}" name="Lane" dataDxfId="163"/>
    <tableColumn id="9" xr3:uid="{00000000-0010-0000-2700-000009000000}" name="Category" dataDxfId="162"/>
    <tableColumn id="32" xr3:uid="{00000000-0010-0000-2700-000020000000}" name="Age_x000a_Division" dataDxfId="161"/>
    <tableColumn id="4" xr3:uid="{00000000-0010-0000-2700-000004000000}" name="Athlete" dataDxfId="160"/>
    <tableColumn id="38" xr3:uid="{00000000-0010-0000-2700-000026000000}" name="Club" dataDxfId="159"/>
    <tableColumn id="37" xr3:uid="{00000000-0010-0000-2700-000025000000}" name="Country" dataDxfId="158"/>
    <tableColumn id="15" xr3:uid="{00000000-0010-0000-2700-00000F000000}" name="Judge 1_x000a_Tamara Beljak" dataDxfId="157"/>
    <tableColumn id="33" xr3:uid="{00000000-0010-0000-2700-000021000000}" name="J1 (-)" dataDxfId="156"/>
    <tableColumn id="26" xr3:uid="{00000000-0010-0000-2700-00001A000000}" name="J1 TOTAL" dataDxfId="155">
      <calculatedColumnFormula>Twirling_Solo_Program28910111213141516173738394046[[#This Row],[Judge 1
Tamara Beljak]]-I2</calculatedColumnFormula>
    </tableColumn>
    <tableColumn id="3" xr3:uid="{00000000-0010-0000-2700-000003000000}" name="J1 (Rank)" dataDxfId="154">
      <calculatedColumnFormula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Row],[Category]],Twirling_Solo_Program28910111213141516173738394046[J1 TOTAL],"&gt;"&amp;Twirling_Solo_Program28910111213141516173738394046[[#This Row],[J1 TOTAL]])+1</calculatedColumnFormula>
    </tableColumn>
    <tableColumn id="16" xr3:uid="{00000000-0010-0000-2700-000010000000}" name="Judge 2_x000a_Tihomir Bendelja" dataDxfId="153"/>
    <tableColumn id="34" xr3:uid="{00000000-0010-0000-2700-000022000000}" name="J2 (-)" dataDxfId="152"/>
    <tableColumn id="28" xr3:uid="{00000000-0010-0000-2700-00001C000000}" name="J2 TOTAL" dataDxfId="151">
      <calculatedColumnFormula>Twirling_Solo_Program28910111213141516173738394046[[#This Row],[Judge 2
Tihomir Bendelja]]-Twirling_Solo_Program28910111213141516173738394046[[#This Row],[J2 (-)]]</calculatedColumnFormula>
    </tableColumn>
    <tableColumn id="5" xr3:uid="{00000000-0010-0000-2700-000005000000}" name="J2 (Rank)" dataDxfId="150">
      <calculatedColumnFormula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Row],[Category]],Twirling_Solo_Program28910111213141516173738394046[J2 TOTAL],"&gt;"&amp;Twirling_Solo_Program28910111213141516173738394046[[#This Row],[J2 TOTAL]])+1</calculatedColumnFormula>
    </tableColumn>
    <tableColumn id="17" xr3:uid="{00000000-0010-0000-2700-000011000000}" name="Judge 3_x000a_Lucija Ljubičić" dataDxfId="149"/>
    <tableColumn id="35" xr3:uid="{00000000-0010-0000-2700-000023000000}" name="J3 (-)" dataDxfId="148"/>
    <tableColumn id="30" xr3:uid="{00000000-0010-0000-2700-00001E000000}" name="J3 TOTAL" dataDxfId="147">
      <calculatedColumnFormula>Twirling_Solo_Program28910111213141516173738394046[[#This Row],[Judge 3
Lucija Ljubičić]]-Q2</calculatedColumnFormula>
    </tableColumn>
    <tableColumn id="6" xr3:uid="{00000000-0010-0000-2700-000006000000}" name="J3 (Rank)" dataDxfId="146">
      <calculatedColumnFormula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Row],[Category]],Twirling_Solo_Program28910111213141516173738394046[J3 TOTAL],"&gt;"&amp;Twirling_Solo_Program28910111213141516173738394046[[#This Row],[J3 TOTAL]])+1</calculatedColumnFormula>
    </tableColumn>
    <tableColumn id="18" xr3:uid="{00000000-0010-0000-2700-000012000000}" name="Judge 4_x000a_Bernard Barač" dataDxfId="145"/>
    <tableColumn id="36" xr3:uid="{00000000-0010-0000-2700-000024000000}" name="J4 (-)" dataDxfId="144"/>
    <tableColumn id="31" xr3:uid="{00000000-0010-0000-2700-00001F000000}" name="J4 TOTAL" dataDxfId="143">
      <calculatedColumnFormula>Twirling_Solo_Program28910111213141516173738394046[[#This Row],[Judge 4
Bernard Barač]]-U2</calculatedColumnFormula>
    </tableColumn>
    <tableColumn id="7" xr3:uid="{00000000-0010-0000-2700-000007000000}" name="J4 (Rank)" dataDxfId="142">
      <calculatedColumnFormula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Row],[Category]],Twirling_Solo_Program28910111213141516173738394046[J4 TOTAL],"&gt;"&amp;Twirling_Solo_Program28910111213141516173738394046[[#This Row],[J4 TOTAL]])+1</calculatedColumnFormula>
    </tableColumn>
    <tableColumn id="20" xr3:uid="{00000000-0010-0000-2700-000014000000}" name="Total" dataDxfId="141">
      <calculatedColumnFormula>SUM(Twirling_Solo_Program28910111213141516173738394046[[#This Row],[J1 TOTAL]]+Twirling_Solo_Program28910111213141516173738394046[[#This Row],[J2 TOTAL]]+Twirling_Solo_Program28910111213141516173738394046[[#This Row],[J3 TOTAL]]+Twirling_Solo_Program28910111213141516173738394046[[#This Row],[J4 TOTAL]])</calculatedColumnFormula>
    </tableColumn>
    <tableColumn id="23" xr3:uid="{00000000-0010-0000-2700-000017000000}" name="Low" dataDxfId="140">
      <calculatedColumnFormula>MIN(Twirling_Solo_Program28910111213141516173738394046[[#This Row],[J1 TOTAL]],Twirling_Solo_Program28910111213141516173738394046[[#This Row],[J2 TOTAL]],Twirling_Solo_Program28910111213141516173738394046[[#This Row],[J3 TOTAL]],Twirling_Solo_Program28910111213141516173738394046[[#This Row],[J4 TOTAL]])</calculatedColumnFormula>
    </tableColumn>
    <tableColumn id="19" xr3:uid="{00000000-0010-0000-2700-000013000000}" name="High" dataDxfId="139">
      <calculatedColumnFormula>MAX(Twirling_Solo_Program28910111213141516173738394046[[#This Row],[J1 TOTAL]],Twirling_Solo_Program28910111213141516173738394046[[#This Row],[J2 TOTAL]],Twirling_Solo_Program28910111213141516173738394046[[#This Row],[J3 TOTAL]],Twirling_Solo_Program28910111213141516173738394046[[#This Row],[J4 TOTAL]])</calculatedColumnFormula>
    </tableColumn>
    <tableColumn id="25" xr3:uid="{00000000-0010-0000-2700-000019000000}" name="Final Total" dataDxfId="138">
      <calculatedColumnFormula>SUM(Twirling_Solo_Program28910111213141516173738394046[[#This Row],[Total]]-Twirling_Solo_Program28910111213141516173738394046[[#This Row],[Low]]-Twirling_Solo_Program28910111213141516173738394046[[#This Row],[High]])</calculatedColumnFormula>
    </tableColumn>
    <tableColumn id="24" xr3:uid="{00000000-0010-0000-2700-000018000000}" name="Avg" dataDxfId="137">
      <calculatedColumnFormula>AVERAGE(H2,L2,P2,T2)</calculatedColumnFormula>
    </tableColumn>
    <tableColumn id="22" xr3:uid="{00000000-0010-0000-2700-000016000000}" name="FINAL SCORE" dataDxfId="136">
      <calculatedColumnFormula>Twirling_Solo_Program28910111213141516173738394046[[#This Row],[Final Total]]</calculatedColumnFormula>
    </tableColumn>
    <tableColumn id="27" xr3:uid="{00000000-0010-0000-2700-00001B000000}" name="Rank" dataDxfId="135">
      <calculatedColumnFormula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Row],[Category]],Twirling_Solo_Program28910111213141516173738394046[FINAL SCORE],"&gt;"&amp;Twirling_Solo_Program28910111213141516173738394046[[#This Row],[FINAL SCORE]])+1</calculatedColumnFormula>
    </tableColumn>
    <tableColumn id="39" xr3:uid="{00000000-0010-0000-2700-000027000000}" name="Category Type" dataDxfId="13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3000000}" name="Twirling_Solo_Program28910111213141516171819202223242526" displayName="Twirling_Solo_Program28910111213141516171819202223242526" ref="A1:AE5" totalsRowShown="0" headerRowDxfId="760" dataDxfId="759">
  <autoFilter ref="A1:AE5" xr:uid="{00000000-0009-0000-0100-000019000000}"/>
  <sortState xmlns:xlrd2="http://schemas.microsoft.com/office/spreadsheetml/2017/richdata2" ref="A2:AE5">
    <sortCondition ref="AD2:AD5"/>
  </sortState>
  <tableColumns count="31">
    <tableColumn id="1" xr3:uid="{00000000-0010-0000-1300-000001000000}" name="Start No." dataDxfId="791"/>
    <tableColumn id="8" xr3:uid="{00000000-0010-0000-1300-000008000000}" name="Lane" dataDxfId="790"/>
    <tableColumn id="9" xr3:uid="{00000000-0010-0000-1300-000009000000}" name="Category" dataDxfId="789"/>
    <tableColumn id="32" xr3:uid="{00000000-0010-0000-1300-000020000000}" name="Age_x000a_Division" dataDxfId="788"/>
    <tableColumn id="4" xr3:uid="{00000000-0010-0000-1300-000004000000}" name="Athlete" dataDxfId="787"/>
    <tableColumn id="38" xr3:uid="{00000000-0010-0000-1300-000026000000}" name="Club" dataDxfId="786"/>
    <tableColumn id="37" xr3:uid="{00000000-0010-0000-1300-000025000000}" name="Country" dataDxfId="785"/>
    <tableColumn id="15" xr3:uid="{00000000-0010-0000-1300-00000F000000}" name="Judge 1_x000a_Tamara Beljak" dataDxfId="784"/>
    <tableColumn id="33" xr3:uid="{00000000-0010-0000-1300-000021000000}" name="J1 (-)" dataDxfId="783"/>
    <tableColumn id="26" xr3:uid="{00000000-0010-0000-1300-00001A000000}" name="J1 TOTAL" dataDxfId="782">
      <calculatedColumnFormula>Twirling_Solo_Program28910111213141516171819202223242526[[#This Row],[Judge 1
Tamara Beljak]]-I2</calculatedColumnFormula>
    </tableColumn>
    <tableColumn id="3" xr3:uid="{00000000-0010-0000-1300-000003000000}" name="J1 (Rank)" dataDxfId="781">
      <calculatedColumnFormula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Row],[Category]],Twirling_Solo_Program28910111213141516171819202223242526[J1 TOTAL],"&gt;"&amp;Twirling_Solo_Program28910111213141516171819202223242526[[#This Row],[J1 TOTAL]])+1</calculatedColumnFormula>
    </tableColumn>
    <tableColumn id="16" xr3:uid="{00000000-0010-0000-1300-000010000000}" name="Judge 2_x000a_Tihomir Bendelja" dataDxfId="780"/>
    <tableColumn id="34" xr3:uid="{00000000-0010-0000-1300-000022000000}" name="J2 (-)" dataDxfId="779"/>
    <tableColumn id="28" xr3:uid="{00000000-0010-0000-1300-00001C000000}" name="J2 TOTAL" dataDxfId="778">
      <calculatedColumnFormula>Twirling_Solo_Program28910111213141516171819202223242526[[#This Row],[Judge 2
Tihomir Bendelja]]-Twirling_Solo_Program28910111213141516171819202223242526[[#This Row],[J2 (-)]]</calculatedColumnFormula>
    </tableColumn>
    <tableColumn id="5" xr3:uid="{00000000-0010-0000-1300-000005000000}" name="J2 (Rank)" dataDxfId="777">
      <calculatedColumnFormula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Row],[Category]],Twirling_Solo_Program28910111213141516171819202223242526[J2 TOTAL],"&gt;"&amp;Twirling_Solo_Program28910111213141516171819202223242526[[#This Row],[J2 TOTAL]])+1</calculatedColumnFormula>
    </tableColumn>
    <tableColumn id="17" xr3:uid="{00000000-0010-0000-1300-000011000000}" name="Judge 3_x000a_Lucija Ljubičić" dataDxfId="776"/>
    <tableColumn id="35" xr3:uid="{00000000-0010-0000-1300-000023000000}" name="J3 (-)" dataDxfId="775"/>
    <tableColumn id="30" xr3:uid="{00000000-0010-0000-1300-00001E000000}" name="J3 TOTAL" dataDxfId="774">
      <calculatedColumnFormula>Twirling_Solo_Program28910111213141516171819202223242526[[#This Row],[Judge 3
Lucija Ljubičić]]-Q2</calculatedColumnFormula>
    </tableColumn>
    <tableColumn id="6" xr3:uid="{00000000-0010-0000-1300-000006000000}" name="J3 (Rank)" dataDxfId="773">
      <calculatedColumnFormula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Row],[Category]],Twirling_Solo_Program28910111213141516171819202223242526[J3 TOTAL],"&gt;"&amp;Twirling_Solo_Program28910111213141516171819202223242526[[#This Row],[J3 TOTAL]])+1</calculatedColumnFormula>
    </tableColumn>
    <tableColumn id="18" xr3:uid="{00000000-0010-0000-1300-000012000000}" name="Judge 4_x000a_Bernard Barač" dataDxfId="772"/>
    <tableColumn id="36" xr3:uid="{00000000-0010-0000-1300-000024000000}" name="J4 (-)" dataDxfId="771"/>
    <tableColumn id="31" xr3:uid="{00000000-0010-0000-1300-00001F000000}" name="J4 TOTAL" dataDxfId="770">
      <calculatedColumnFormula>Twirling_Solo_Program28910111213141516171819202223242526[[#This Row],[Judge 4
Bernard Barač]]-U2</calculatedColumnFormula>
    </tableColumn>
    <tableColumn id="7" xr3:uid="{00000000-0010-0000-1300-000007000000}" name="J4 (Rank)" dataDxfId="769">
      <calculatedColumnFormula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Row],[Category]],Twirling_Solo_Program28910111213141516171819202223242526[J4 TOTAL],"&gt;"&amp;Twirling_Solo_Program28910111213141516171819202223242526[[#This Row],[J4 TOTAL]])+1</calculatedColumnFormula>
    </tableColumn>
    <tableColumn id="20" xr3:uid="{00000000-0010-0000-1300-000014000000}" name="Total" dataDxfId="768">
      <calculatedColumnFormula>SUM(Twirling_Solo_Program28910111213141516171819202223242526[[#This Row],[J1 TOTAL]]+Twirling_Solo_Program28910111213141516171819202223242526[[#This Row],[J2 TOTAL]]+Twirling_Solo_Program28910111213141516171819202223242526[[#This Row],[J3 TOTAL]]+Twirling_Solo_Program28910111213141516171819202223242526[[#This Row],[J4 TOTAL]])</calculatedColumnFormula>
    </tableColumn>
    <tableColumn id="23" xr3:uid="{00000000-0010-0000-1300-000017000000}" name="Low" dataDxfId="767"/>
    <tableColumn id="19" xr3:uid="{00000000-0010-0000-1300-000013000000}" name="High" dataDxfId="766"/>
    <tableColumn id="25" xr3:uid="{00000000-0010-0000-1300-000019000000}" name="Final Total" dataDxfId="765">
      <calculatedColumnFormula>SUM(Twirling_Solo_Program28910111213141516171819202223242526[[#This Row],[Total]]-Twirling_Solo_Program28910111213141516171819202223242526[[#This Row],[Low]]-Twirling_Solo_Program28910111213141516171819202223242526[[#This Row],[High]])</calculatedColumnFormula>
    </tableColumn>
    <tableColumn id="24" xr3:uid="{00000000-0010-0000-1300-000018000000}" name="Avg" dataDxfId="764">
      <calculatedColumnFormula>AVERAGE(H2,L2,P2,T2)</calculatedColumnFormula>
    </tableColumn>
    <tableColumn id="22" xr3:uid="{00000000-0010-0000-1300-000016000000}" name="FINAL SCORE" dataDxfId="763">
      <calculatedColumnFormula>Twirling_Solo_Program28910111213141516171819202223242526[[#This Row],[Final Total]]</calculatedColumnFormula>
    </tableColumn>
    <tableColumn id="27" xr3:uid="{00000000-0010-0000-1300-00001B000000}" name="Rank" dataDxfId="762">
      <calculatedColumnFormula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Row],[Category]],Twirling_Solo_Program28910111213141516171819202223242526[FINAL SCORE],"&gt;"&amp;Twirling_Solo_Program28910111213141516171819202223242526[[#This Row],[FINAL SCORE]])+1</calculatedColumnFormula>
    </tableColumn>
    <tableColumn id="39" xr3:uid="{00000000-0010-0000-1300-000027000000}" name="Category Type" dataDxfId="761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8000000}" name="Twirling_Solo_Program2891011121314151617373839404647" displayName="Twirling_Solo_Program2891011121314151617373839404647" ref="A1:AE2" totalsRowShown="0" headerRowDxfId="100" dataDxfId="99">
  <autoFilter ref="A1:AE2" xr:uid="{00000000-0009-0000-0100-00002E000000}"/>
  <tableColumns count="31">
    <tableColumn id="1" xr3:uid="{00000000-0010-0000-2800-000001000000}" name="Start No." dataDxfId="131"/>
    <tableColumn id="8" xr3:uid="{00000000-0010-0000-2800-000008000000}" name="Lane" dataDxfId="130"/>
    <tableColumn id="9" xr3:uid="{00000000-0010-0000-2800-000009000000}" name="Category" dataDxfId="129"/>
    <tableColumn id="32" xr3:uid="{00000000-0010-0000-2800-000020000000}" name="Age_x000a_Division" dataDxfId="128"/>
    <tableColumn id="4" xr3:uid="{00000000-0010-0000-2800-000004000000}" name="Athlete" dataDxfId="127"/>
    <tableColumn id="38" xr3:uid="{00000000-0010-0000-2800-000026000000}" name="Club" dataDxfId="126"/>
    <tableColumn id="37" xr3:uid="{00000000-0010-0000-2800-000025000000}" name="Country" dataDxfId="125"/>
    <tableColumn id="15" xr3:uid="{00000000-0010-0000-2800-00000F000000}" name="Judge 1_x000a_Tamara Beljak" dataDxfId="124"/>
    <tableColumn id="33" xr3:uid="{00000000-0010-0000-2800-000021000000}" name="J1 (-)" dataDxfId="123"/>
    <tableColumn id="26" xr3:uid="{00000000-0010-0000-2800-00001A000000}" name="J1 TOTAL" dataDxfId="122">
      <calculatedColumnFormula>Twirling_Solo_Program2891011121314151617373839404647[[#This Row],[Judge 1
Tamara Beljak]]-I2</calculatedColumnFormula>
    </tableColumn>
    <tableColumn id="3" xr3:uid="{00000000-0010-0000-2800-000003000000}" name="J1 (Rank)" dataDxfId="121">
      <calculatedColumnFormula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Row],[Category]],Twirling_Solo_Program2891011121314151617373839404647[J1 TOTAL],"&gt;"&amp;Twirling_Solo_Program2891011121314151617373839404647[[#This Row],[J1 TOTAL]])+1</calculatedColumnFormula>
    </tableColumn>
    <tableColumn id="16" xr3:uid="{00000000-0010-0000-2800-000010000000}" name="Judge 2_x000a_Tihomir Bendelja" dataDxfId="120"/>
    <tableColumn id="34" xr3:uid="{00000000-0010-0000-2800-000022000000}" name="J2 (-)" dataDxfId="119"/>
    <tableColumn id="28" xr3:uid="{00000000-0010-0000-2800-00001C000000}" name="J2 TOTAL" dataDxfId="118">
      <calculatedColumnFormula>Twirling_Solo_Program2891011121314151617373839404647[[#This Row],[Judge 2
Tihomir Bendelja]]-Twirling_Solo_Program2891011121314151617373839404647[[#This Row],[J2 (-)]]</calculatedColumnFormula>
    </tableColumn>
    <tableColumn id="5" xr3:uid="{00000000-0010-0000-2800-000005000000}" name="J2 (Rank)" dataDxfId="117">
      <calculatedColumnFormula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Row],[Category]],Twirling_Solo_Program2891011121314151617373839404647[J2 TOTAL],"&gt;"&amp;Twirling_Solo_Program2891011121314151617373839404647[[#This Row],[J2 TOTAL]])+1</calculatedColumnFormula>
    </tableColumn>
    <tableColumn id="17" xr3:uid="{00000000-0010-0000-2800-000011000000}" name="Judge 3_x000a_Lucija Ljubičić" dataDxfId="116"/>
    <tableColumn id="35" xr3:uid="{00000000-0010-0000-2800-000023000000}" name="J3 (-)" dataDxfId="115"/>
    <tableColumn id="30" xr3:uid="{00000000-0010-0000-2800-00001E000000}" name="J3 TOTAL" dataDxfId="114">
      <calculatedColumnFormula>Twirling_Solo_Program2891011121314151617373839404647[[#This Row],[Judge 3
Lucija Ljubičić]]-Q2</calculatedColumnFormula>
    </tableColumn>
    <tableColumn id="6" xr3:uid="{00000000-0010-0000-2800-000006000000}" name="J3 (Rank)" dataDxfId="113">
      <calculatedColumnFormula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Row],[Category]],Twirling_Solo_Program2891011121314151617373839404647[J3 TOTAL],"&gt;"&amp;Twirling_Solo_Program2891011121314151617373839404647[[#This Row],[J3 TOTAL]])+1</calculatedColumnFormula>
    </tableColumn>
    <tableColumn id="18" xr3:uid="{00000000-0010-0000-2800-000012000000}" name="Judge 4_x000a_Bernard Barač" dataDxfId="112"/>
    <tableColumn id="36" xr3:uid="{00000000-0010-0000-2800-000024000000}" name="J4 (-)" dataDxfId="111"/>
    <tableColumn id="31" xr3:uid="{00000000-0010-0000-2800-00001F000000}" name="J4 TOTAL" dataDxfId="110">
      <calculatedColumnFormula>Twirling_Solo_Program2891011121314151617373839404647[[#This Row],[Judge 4
Bernard Barač]]-U2</calculatedColumnFormula>
    </tableColumn>
    <tableColumn id="7" xr3:uid="{00000000-0010-0000-2800-000007000000}" name="J4 (Rank)" dataDxfId="109">
      <calculatedColumnFormula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Row],[Category]],Twirling_Solo_Program2891011121314151617373839404647[J4 TOTAL],"&gt;"&amp;Twirling_Solo_Program2891011121314151617373839404647[[#This Row],[J4 TOTAL]])+1</calculatedColumnFormula>
    </tableColumn>
    <tableColumn id="20" xr3:uid="{00000000-0010-0000-2800-000014000000}" name="Total" dataDxfId="108">
      <calculatedColumnFormula>SUM(Twirling_Solo_Program2891011121314151617373839404647[[#This Row],[J1 TOTAL]]+Twirling_Solo_Program2891011121314151617373839404647[[#This Row],[J2 TOTAL]]+Twirling_Solo_Program2891011121314151617373839404647[[#This Row],[J3 TOTAL]]+Twirling_Solo_Program2891011121314151617373839404647[[#This Row],[J4 TOTAL]])</calculatedColumnFormula>
    </tableColumn>
    <tableColumn id="23" xr3:uid="{00000000-0010-0000-2800-000017000000}" name="Low" dataDxfId="107">
      <calculatedColumnFormula>MIN(Twirling_Solo_Program2891011121314151617373839404647[[#This Row],[J1 TOTAL]],Twirling_Solo_Program2891011121314151617373839404647[[#This Row],[J2 TOTAL]],Twirling_Solo_Program2891011121314151617373839404647[[#This Row],[J3 TOTAL]],Twirling_Solo_Program2891011121314151617373839404647[[#This Row],[J4 TOTAL]])</calculatedColumnFormula>
    </tableColumn>
    <tableColumn id="19" xr3:uid="{00000000-0010-0000-2800-000013000000}" name="High" dataDxfId="106">
      <calculatedColumnFormula>MAX(Twirling_Solo_Program2891011121314151617373839404647[[#This Row],[J1 TOTAL]],Twirling_Solo_Program2891011121314151617373839404647[[#This Row],[J2 TOTAL]],Twirling_Solo_Program2891011121314151617373839404647[[#This Row],[J3 TOTAL]],Twirling_Solo_Program2891011121314151617373839404647[[#This Row],[J4 TOTAL]])</calculatedColumnFormula>
    </tableColumn>
    <tableColumn id="25" xr3:uid="{00000000-0010-0000-2800-000019000000}" name="Final Total" dataDxfId="105">
      <calculatedColumnFormula>SUM(Twirling_Solo_Program2891011121314151617373839404647[[#This Row],[Total]]-Twirling_Solo_Program2891011121314151617373839404647[[#This Row],[Low]]-Twirling_Solo_Program2891011121314151617373839404647[[#This Row],[High]])</calculatedColumnFormula>
    </tableColumn>
    <tableColumn id="24" xr3:uid="{00000000-0010-0000-2800-000018000000}" name="Avg" dataDxfId="104">
      <calculatedColumnFormula>AVERAGE(H2,L2,P2,T2)</calculatedColumnFormula>
    </tableColumn>
    <tableColumn id="22" xr3:uid="{00000000-0010-0000-2800-000016000000}" name="FINAL SCORE" dataDxfId="103">
      <calculatedColumnFormula>Twirling_Solo_Program2891011121314151617373839404647[[#This Row],[Final Total]]</calculatedColumnFormula>
    </tableColumn>
    <tableColumn id="27" xr3:uid="{00000000-0010-0000-2800-00001B000000}" name="Rank" dataDxfId="102">
      <calculatedColumnFormula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Row],[Category]],Twirling_Solo_Program2891011121314151617373839404647[FINAL SCORE],"&gt;"&amp;Twirling_Solo_Program2891011121314151617373839404647[[#This Row],[FINAL SCORE]])+1</calculatedColumnFormula>
    </tableColumn>
    <tableColumn id="39" xr3:uid="{00000000-0010-0000-2800-000027000000}" name="Category Type" dataDxfId="101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B000000}" name="Twirling_Solo_Program2891011121314151617373839404647484950" displayName="Twirling_Solo_Program2891011121314151617373839404647484950" ref="A1:AE2" totalsRowShown="0" headerRowDxfId="1" dataDxfId="0">
  <autoFilter ref="A1:AE2" xr:uid="{00000000-0009-0000-0100-000031000000}"/>
  <tableColumns count="31">
    <tableColumn id="1" xr3:uid="{00000000-0010-0000-2B00-000001000000}" name="Start No." dataDxfId="32"/>
    <tableColumn id="8" xr3:uid="{00000000-0010-0000-2B00-000008000000}" name="Lane" dataDxfId="31"/>
    <tableColumn id="9" xr3:uid="{00000000-0010-0000-2B00-000009000000}" name="Category" dataDxfId="30"/>
    <tableColumn id="32" xr3:uid="{00000000-0010-0000-2B00-000020000000}" name="Age_x000a_Division" dataDxfId="29"/>
    <tableColumn id="4" xr3:uid="{00000000-0010-0000-2B00-000004000000}" name="Athlete" dataDxfId="28"/>
    <tableColumn id="38" xr3:uid="{00000000-0010-0000-2B00-000026000000}" name="Club" dataDxfId="27"/>
    <tableColumn id="37" xr3:uid="{00000000-0010-0000-2B00-000025000000}" name="Country" dataDxfId="26"/>
    <tableColumn id="15" xr3:uid="{00000000-0010-0000-2B00-00000F000000}" name="Judge 1_x000a_Tamara Beljak" dataDxfId="25"/>
    <tableColumn id="33" xr3:uid="{00000000-0010-0000-2B00-000021000000}" name="J1 (-)" dataDxfId="24"/>
    <tableColumn id="26" xr3:uid="{00000000-0010-0000-2B00-00001A000000}" name="J1 TOTAL" dataDxfId="23">
      <calculatedColumnFormula>Twirling_Solo_Program2891011121314151617373839404647484950[[#This Row],[Judge 1
Tamara Beljak]]-I2</calculatedColumnFormula>
    </tableColumn>
    <tableColumn id="3" xr3:uid="{00000000-0010-0000-2B00-000003000000}" name="J1 (Rank)" dataDxfId="22">
      <calculatedColumnFormula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Row],[Category]],Twirling_Solo_Program2891011121314151617373839404647484950[J1 TOTAL],"&gt;"&amp;Twirling_Solo_Program2891011121314151617373839404647484950[[#This Row],[J1 TOTAL]])+1</calculatedColumnFormula>
    </tableColumn>
    <tableColumn id="16" xr3:uid="{00000000-0010-0000-2B00-000010000000}" name="Judge 2_x000a_Tihomir Bendelja" dataDxfId="21"/>
    <tableColumn id="34" xr3:uid="{00000000-0010-0000-2B00-000022000000}" name="J2 (-)" dataDxfId="20"/>
    <tableColumn id="28" xr3:uid="{00000000-0010-0000-2B00-00001C000000}" name="J2 TOTAL" dataDxfId="19">
      <calculatedColumnFormula>Twirling_Solo_Program2891011121314151617373839404647484950[[#This Row],[Judge 2
Tihomir Bendelja]]-Twirling_Solo_Program2891011121314151617373839404647484950[[#This Row],[J2 (-)]]</calculatedColumnFormula>
    </tableColumn>
    <tableColumn id="5" xr3:uid="{00000000-0010-0000-2B00-000005000000}" name="J2 (Rank)" dataDxfId="18">
      <calculatedColumnFormula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Row],[Category]],Twirling_Solo_Program2891011121314151617373839404647484950[J2 TOTAL],"&gt;"&amp;Twirling_Solo_Program2891011121314151617373839404647484950[[#This Row],[J2 TOTAL]])+1</calculatedColumnFormula>
    </tableColumn>
    <tableColumn id="17" xr3:uid="{00000000-0010-0000-2B00-000011000000}" name="Judge 3_x000a_Lucija Ljubičić" dataDxfId="17"/>
    <tableColumn id="35" xr3:uid="{00000000-0010-0000-2B00-000023000000}" name="J3 (-)" dataDxfId="16"/>
    <tableColumn id="30" xr3:uid="{00000000-0010-0000-2B00-00001E000000}" name="J3 TOTAL" dataDxfId="15">
      <calculatedColumnFormula>Twirling_Solo_Program2891011121314151617373839404647484950[[#This Row],[Judge 3
Lucija Ljubičić]]-Q2</calculatedColumnFormula>
    </tableColumn>
    <tableColumn id="6" xr3:uid="{00000000-0010-0000-2B00-000006000000}" name="J3 (Rank)" dataDxfId="14">
      <calculatedColumnFormula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Row],[Category]],Twirling_Solo_Program2891011121314151617373839404647484950[J3 TOTAL],"&gt;"&amp;Twirling_Solo_Program2891011121314151617373839404647484950[[#This Row],[J3 TOTAL]])+1</calculatedColumnFormula>
    </tableColumn>
    <tableColumn id="18" xr3:uid="{00000000-0010-0000-2B00-000012000000}" name="Judge 4_x000a_Bernard Barač" dataDxfId="13"/>
    <tableColumn id="36" xr3:uid="{00000000-0010-0000-2B00-000024000000}" name="J4 (-)" dataDxfId="12"/>
    <tableColumn id="31" xr3:uid="{00000000-0010-0000-2B00-00001F000000}" name="J4 TOTAL" dataDxfId="11">
      <calculatedColumnFormula>Twirling_Solo_Program2891011121314151617373839404647484950[[#This Row],[Judge 4
Bernard Barač]]-U2</calculatedColumnFormula>
    </tableColumn>
    <tableColumn id="7" xr3:uid="{00000000-0010-0000-2B00-000007000000}" name="J4 (Rank)" dataDxfId="10">
      <calculatedColumnFormula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Row],[Category]],Twirling_Solo_Program2891011121314151617373839404647484950[J4 TOTAL],"&gt;"&amp;Twirling_Solo_Program2891011121314151617373839404647484950[[#This Row],[J4 TOTAL]])+1</calculatedColumnFormula>
    </tableColumn>
    <tableColumn id="20" xr3:uid="{00000000-0010-0000-2B00-000014000000}" name="Total" dataDxfId="9">
      <calculatedColumnFormula>SUM(Twirling_Solo_Program2891011121314151617373839404647484950[[#This Row],[J1 TOTAL]]+Twirling_Solo_Program2891011121314151617373839404647484950[[#This Row],[J2 TOTAL]]+Twirling_Solo_Program2891011121314151617373839404647484950[[#This Row],[J3 TOTAL]]+Twirling_Solo_Program2891011121314151617373839404647484950[[#This Row],[J4 TOTAL]])</calculatedColumnFormula>
    </tableColumn>
    <tableColumn id="23" xr3:uid="{00000000-0010-0000-2B00-000017000000}" name="Low" dataDxfId="8">
      <calculatedColumnFormula>MIN(Twirling_Solo_Program2891011121314151617373839404647484950[[#This Row],[J1 TOTAL]],Twirling_Solo_Program2891011121314151617373839404647484950[[#This Row],[J2 TOTAL]],Twirling_Solo_Program2891011121314151617373839404647484950[[#This Row],[J3 TOTAL]],Twirling_Solo_Program2891011121314151617373839404647484950[[#This Row],[J4 TOTAL]])</calculatedColumnFormula>
    </tableColumn>
    <tableColumn id="19" xr3:uid="{00000000-0010-0000-2B00-000013000000}" name="High" dataDxfId="7">
      <calculatedColumnFormula>MAX(Twirling_Solo_Program2891011121314151617373839404647484950[[#This Row],[J1 TOTAL]],Twirling_Solo_Program2891011121314151617373839404647484950[[#This Row],[J2 TOTAL]],Twirling_Solo_Program2891011121314151617373839404647484950[[#This Row],[J3 TOTAL]],Twirling_Solo_Program2891011121314151617373839404647484950[[#This Row],[J4 TOTAL]])</calculatedColumnFormula>
    </tableColumn>
    <tableColumn id="25" xr3:uid="{00000000-0010-0000-2B00-000019000000}" name="Final Total" dataDxfId="6">
      <calculatedColumnFormula>SUM(Twirling_Solo_Program2891011121314151617373839404647484950[[#This Row],[Total]]-Twirling_Solo_Program2891011121314151617373839404647484950[[#This Row],[Low]]-Twirling_Solo_Program2891011121314151617373839404647484950[[#This Row],[High]])</calculatedColumnFormula>
    </tableColumn>
    <tableColumn id="24" xr3:uid="{00000000-0010-0000-2B00-000018000000}" name="Avg" dataDxfId="5">
      <calculatedColumnFormula>AVERAGE(H2,L2,P2,T2)</calculatedColumnFormula>
    </tableColumn>
    <tableColumn id="22" xr3:uid="{00000000-0010-0000-2B00-000016000000}" name="FINAL SCORE" dataDxfId="4">
      <calculatedColumnFormula>Twirling_Solo_Program2891011121314151617373839404647484950[[#This Row],[Final Total]]</calculatedColumnFormula>
    </tableColumn>
    <tableColumn id="27" xr3:uid="{00000000-0010-0000-2B00-00001B000000}" name="Rank" dataDxfId="3">
      <calculatedColumnFormula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Row],[Category]],Twirling_Solo_Program2891011121314151617373839404647484950[FINAL SCORE],"&gt;"&amp;Twirling_Solo_Program2891011121314151617373839404647484950[[#This Row],[FINAL SCORE]])+1</calculatedColumnFormula>
    </tableColumn>
    <tableColumn id="39" xr3:uid="{00000000-0010-0000-2B00-000027000000}" name="Category Type" dataDxfId="2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2000000}" name="Twirling_Solo_Program28910111213141516173738394041" displayName="Twirling_Solo_Program28910111213141516173738394041" ref="A1:AE2" totalsRowShown="0" headerRowDxfId="298" dataDxfId="297">
  <autoFilter ref="A1:AE2" xr:uid="{00000000-0009-0000-0100-000028000000}"/>
  <tableColumns count="31">
    <tableColumn id="1" xr3:uid="{00000000-0010-0000-2200-000001000000}" name="Start No." dataDxfId="329"/>
    <tableColumn id="8" xr3:uid="{00000000-0010-0000-2200-000008000000}" name="Lane" dataDxfId="328"/>
    <tableColumn id="9" xr3:uid="{00000000-0010-0000-2200-000009000000}" name="Category" dataDxfId="327"/>
    <tableColumn id="32" xr3:uid="{00000000-0010-0000-2200-000020000000}" name="Age_x000a_Division" dataDxfId="326"/>
    <tableColumn id="4" xr3:uid="{00000000-0010-0000-2200-000004000000}" name="Athlete" dataDxfId="325"/>
    <tableColumn id="38" xr3:uid="{00000000-0010-0000-2200-000026000000}" name="Club" dataDxfId="324"/>
    <tableColumn id="37" xr3:uid="{00000000-0010-0000-2200-000025000000}" name="Country" dataDxfId="323"/>
    <tableColumn id="15" xr3:uid="{00000000-0010-0000-2200-00000F000000}" name="Judge 1_x000a_Tamara Beljak" dataDxfId="322"/>
    <tableColumn id="33" xr3:uid="{00000000-0010-0000-2200-000021000000}" name="J1 (-)" dataDxfId="321"/>
    <tableColumn id="26" xr3:uid="{00000000-0010-0000-2200-00001A000000}" name="J1 TOTAL" dataDxfId="320">
      <calculatedColumnFormula>Twirling_Solo_Program28910111213141516173738394041[[#This Row],[Judge 1
Tamara Beljak]]-I2</calculatedColumnFormula>
    </tableColumn>
    <tableColumn id="3" xr3:uid="{00000000-0010-0000-2200-000003000000}" name="J1 (Rank)" dataDxfId="319">
      <calculatedColumnFormula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Row],[Category]],Twirling_Solo_Program28910111213141516173738394041[J1 TOTAL],"&gt;"&amp;Twirling_Solo_Program28910111213141516173738394041[[#This Row],[J1 TOTAL]])+1</calculatedColumnFormula>
    </tableColumn>
    <tableColumn id="16" xr3:uid="{00000000-0010-0000-2200-000010000000}" name="Judge 2_x000a_Tihomir Bendelja" dataDxfId="318"/>
    <tableColumn id="34" xr3:uid="{00000000-0010-0000-2200-000022000000}" name="J2 (-)" dataDxfId="317"/>
    <tableColumn id="28" xr3:uid="{00000000-0010-0000-2200-00001C000000}" name="J2 TOTAL" dataDxfId="316">
      <calculatedColumnFormula>Twirling_Solo_Program28910111213141516173738394041[[#This Row],[Judge 2
Tihomir Bendelja]]-Twirling_Solo_Program28910111213141516173738394041[[#This Row],[J2 (-)]]</calculatedColumnFormula>
    </tableColumn>
    <tableColumn id="5" xr3:uid="{00000000-0010-0000-2200-000005000000}" name="J2 (Rank)" dataDxfId="315">
      <calculatedColumnFormula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Row],[Category]],Twirling_Solo_Program28910111213141516173738394041[J2 TOTAL],"&gt;"&amp;Twirling_Solo_Program28910111213141516173738394041[[#This Row],[J2 TOTAL]])+1</calculatedColumnFormula>
    </tableColumn>
    <tableColumn id="17" xr3:uid="{00000000-0010-0000-2200-000011000000}" name="Judge 3_x000a_Lucija Ljubičić" dataDxfId="314"/>
    <tableColumn id="35" xr3:uid="{00000000-0010-0000-2200-000023000000}" name="J3 (-)" dataDxfId="313"/>
    <tableColumn id="30" xr3:uid="{00000000-0010-0000-2200-00001E000000}" name="J3 TOTAL" dataDxfId="312">
      <calculatedColumnFormula>Twirling_Solo_Program28910111213141516173738394041[[#This Row],[Judge 3
Lucija Ljubičić]]-Q2</calculatedColumnFormula>
    </tableColumn>
    <tableColumn id="6" xr3:uid="{00000000-0010-0000-2200-000006000000}" name="J3 (Rank)" dataDxfId="311">
      <calculatedColumnFormula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Row],[Category]],Twirling_Solo_Program28910111213141516173738394041[J3 TOTAL],"&gt;"&amp;Twirling_Solo_Program28910111213141516173738394041[[#This Row],[J3 TOTAL]])+1</calculatedColumnFormula>
    </tableColumn>
    <tableColumn id="18" xr3:uid="{00000000-0010-0000-2200-000012000000}" name="Judge 4_x000a_Bernard Barač" dataDxfId="310"/>
    <tableColumn id="36" xr3:uid="{00000000-0010-0000-2200-000024000000}" name="J4 (-)" dataDxfId="309"/>
    <tableColumn id="31" xr3:uid="{00000000-0010-0000-2200-00001F000000}" name="J4 TOTAL" dataDxfId="308">
      <calculatedColumnFormula>Twirling_Solo_Program28910111213141516173738394041[[#This Row],[Judge 4
Bernard Barač]]-U2</calculatedColumnFormula>
    </tableColumn>
    <tableColumn id="7" xr3:uid="{00000000-0010-0000-2200-000007000000}" name="J4 (Rank)" dataDxfId="307">
      <calculatedColumnFormula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Row],[Category]],Twirling_Solo_Program28910111213141516173738394041[J4 TOTAL],"&gt;"&amp;Twirling_Solo_Program28910111213141516173738394041[[#This Row],[J4 TOTAL]])+1</calculatedColumnFormula>
    </tableColumn>
    <tableColumn id="20" xr3:uid="{00000000-0010-0000-2200-000014000000}" name="Total" dataDxfId="306">
      <calculatedColumnFormula>SUM(Twirling_Solo_Program28910111213141516173738394041[[#This Row],[J1 TOTAL]]+Twirling_Solo_Program28910111213141516173738394041[[#This Row],[J2 TOTAL]]+Twirling_Solo_Program28910111213141516173738394041[[#This Row],[J3 TOTAL]]+Twirling_Solo_Program28910111213141516173738394041[[#This Row],[J4 TOTAL]])</calculatedColumnFormula>
    </tableColumn>
    <tableColumn id="23" xr3:uid="{00000000-0010-0000-2200-000017000000}" name="Low" dataDxfId="305">
      <calculatedColumnFormula>MIN(Twirling_Solo_Program28910111213141516173738394041[[#This Row],[J1 TOTAL]],Twirling_Solo_Program28910111213141516173738394041[[#This Row],[J2 TOTAL]],Twirling_Solo_Program28910111213141516173738394041[[#This Row],[J3 TOTAL]],Twirling_Solo_Program28910111213141516173738394041[[#This Row],[J4 TOTAL]])</calculatedColumnFormula>
    </tableColumn>
    <tableColumn id="19" xr3:uid="{00000000-0010-0000-2200-000013000000}" name="High" dataDxfId="304">
      <calculatedColumnFormula>MAX(Twirling_Solo_Program28910111213141516173738394041[[#This Row],[J1 TOTAL]],Twirling_Solo_Program28910111213141516173738394041[[#This Row],[J2 TOTAL]],Twirling_Solo_Program28910111213141516173738394041[[#This Row],[J3 TOTAL]],Twirling_Solo_Program28910111213141516173738394041[[#This Row],[J4 TOTAL]])</calculatedColumnFormula>
    </tableColumn>
    <tableColumn id="25" xr3:uid="{00000000-0010-0000-2200-000019000000}" name="Final Total" dataDxfId="303">
      <calculatedColumnFormula>SUM(Twirling_Solo_Program28910111213141516173738394041[[#This Row],[Total]]-Twirling_Solo_Program28910111213141516173738394041[[#This Row],[Low]]-Twirling_Solo_Program28910111213141516173738394041[[#This Row],[High]])</calculatedColumnFormula>
    </tableColumn>
    <tableColumn id="24" xr3:uid="{00000000-0010-0000-2200-000018000000}" name="Avg" dataDxfId="302">
      <calculatedColumnFormula>AVERAGE(H2,L2,P2,T2)</calculatedColumnFormula>
    </tableColumn>
    <tableColumn id="22" xr3:uid="{00000000-0010-0000-2200-000016000000}" name="FINAL SCORE" dataDxfId="301">
      <calculatedColumnFormula>Twirling_Solo_Program28910111213141516173738394041[[#This Row],[Final Total]]</calculatedColumnFormula>
    </tableColumn>
    <tableColumn id="27" xr3:uid="{00000000-0010-0000-2200-00001B000000}" name="Rank" dataDxfId="300">
      <calculatedColumnFormula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Row],[Category]],Twirling_Solo_Program28910111213141516173738394041[FINAL SCORE],"&gt;"&amp;Twirling_Solo_Program28910111213141516173738394041[[#This Row],[FINAL SCORE]])+1</calculatedColumnFormula>
    </tableColumn>
    <tableColumn id="39" xr3:uid="{00000000-0010-0000-2200-000027000000}" name="Category Type" dataDxfId="299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3000000}" name="Twirling_Solo_Program2891011121314151617373839404142" displayName="Twirling_Solo_Program2891011121314151617373839404142" ref="A1:AE2" totalsRowShown="0" headerRowDxfId="265" dataDxfId="264">
  <autoFilter ref="A1:AE2" xr:uid="{00000000-0009-0000-0100-000029000000}"/>
  <tableColumns count="31">
    <tableColumn id="1" xr3:uid="{00000000-0010-0000-2300-000001000000}" name="Start No." dataDxfId="296"/>
    <tableColumn id="8" xr3:uid="{00000000-0010-0000-2300-000008000000}" name="Lane" dataDxfId="295"/>
    <tableColumn id="9" xr3:uid="{00000000-0010-0000-2300-000009000000}" name="Category" dataDxfId="294"/>
    <tableColumn id="32" xr3:uid="{00000000-0010-0000-2300-000020000000}" name="Age_x000a_Division" dataDxfId="293"/>
    <tableColumn id="4" xr3:uid="{00000000-0010-0000-2300-000004000000}" name="Athlete" dataDxfId="292"/>
    <tableColumn id="38" xr3:uid="{00000000-0010-0000-2300-000026000000}" name="Club" dataDxfId="291"/>
    <tableColumn id="37" xr3:uid="{00000000-0010-0000-2300-000025000000}" name="Country" dataDxfId="290"/>
    <tableColumn id="15" xr3:uid="{00000000-0010-0000-2300-00000F000000}" name="Judge 1_x000a_Tamara Beljak" dataDxfId="289"/>
    <tableColumn id="33" xr3:uid="{00000000-0010-0000-2300-000021000000}" name="J1 (-)" dataDxfId="288"/>
    <tableColumn id="26" xr3:uid="{00000000-0010-0000-2300-00001A000000}" name="J1 TOTAL" dataDxfId="287">
      <calculatedColumnFormula>Twirling_Solo_Program2891011121314151617373839404142[[#This Row],[Judge 1
Tamara Beljak]]-I2</calculatedColumnFormula>
    </tableColumn>
    <tableColumn id="3" xr3:uid="{00000000-0010-0000-2300-000003000000}" name="J1 (Rank)" dataDxfId="286">
      <calculatedColumnFormula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Row],[Category]],Twirling_Solo_Program2891011121314151617373839404142[J1 TOTAL],"&gt;"&amp;Twirling_Solo_Program2891011121314151617373839404142[[#This Row],[J1 TOTAL]])+1</calculatedColumnFormula>
    </tableColumn>
    <tableColumn id="16" xr3:uid="{00000000-0010-0000-2300-000010000000}" name="Judge 2_x000a_Tihomir Bendelja" dataDxfId="285"/>
    <tableColumn id="34" xr3:uid="{00000000-0010-0000-2300-000022000000}" name="J2 (-)" dataDxfId="284"/>
    <tableColumn id="28" xr3:uid="{00000000-0010-0000-2300-00001C000000}" name="J2 TOTAL" dataDxfId="283">
      <calculatedColumnFormula>Twirling_Solo_Program2891011121314151617373839404142[[#This Row],[Judge 2
Tihomir Bendelja]]-Twirling_Solo_Program2891011121314151617373839404142[[#This Row],[J2 (-)]]</calculatedColumnFormula>
    </tableColumn>
    <tableColumn id="5" xr3:uid="{00000000-0010-0000-2300-000005000000}" name="J2 (Rank)" dataDxfId="282">
      <calculatedColumnFormula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Row],[Category]],Twirling_Solo_Program2891011121314151617373839404142[J2 TOTAL],"&gt;"&amp;Twirling_Solo_Program2891011121314151617373839404142[[#This Row],[J2 TOTAL]])+1</calculatedColumnFormula>
    </tableColumn>
    <tableColumn id="17" xr3:uid="{00000000-0010-0000-2300-000011000000}" name="Judge 3_x000a_Lucija Ljubičić" dataDxfId="281"/>
    <tableColumn id="35" xr3:uid="{00000000-0010-0000-2300-000023000000}" name="J3 (-)" dataDxfId="280"/>
    <tableColumn id="30" xr3:uid="{00000000-0010-0000-2300-00001E000000}" name="J3 TOTAL" dataDxfId="279">
      <calculatedColumnFormula>Twirling_Solo_Program2891011121314151617373839404142[[#This Row],[Judge 3
Lucija Ljubičić]]-Q2</calculatedColumnFormula>
    </tableColumn>
    <tableColumn id="6" xr3:uid="{00000000-0010-0000-2300-000006000000}" name="J3 (Rank)" dataDxfId="278">
      <calculatedColumnFormula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Row],[Category]],Twirling_Solo_Program2891011121314151617373839404142[J3 TOTAL],"&gt;"&amp;Twirling_Solo_Program2891011121314151617373839404142[[#This Row],[J3 TOTAL]])+1</calculatedColumnFormula>
    </tableColumn>
    <tableColumn id="18" xr3:uid="{00000000-0010-0000-2300-000012000000}" name="Judge 4_x000a_Bernard Barač" dataDxfId="277"/>
    <tableColumn id="36" xr3:uid="{00000000-0010-0000-2300-000024000000}" name="J4 (-)" dataDxfId="276"/>
    <tableColumn id="31" xr3:uid="{00000000-0010-0000-2300-00001F000000}" name="J4 TOTAL" dataDxfId="275">
      <calculatedColumnFormula>Twirling_Solo_Program2891011121314151617373839404142[[#This Row],[Judge 4
Bernard Barač]]-U2</calculatedColumnFormula>
    </tableColumn>
    <tableColumn id="7" xr3:uid="{00000000-0010-0000-2300-000007000000}" name="J4 (Rank)" dataDxfId="274">
      <calculatedColumnFormula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Row],[Category]],Twirling_Solo_Program2891011121314151617373839404142[J4 TOTAL],"&gt;"&amp;Twirling_Solo_Program2891011121314151617373839404142[[#This Row],[J4 TOTAL]])+1</calculatedColumnFormula>
    </tableColumn>
    <tableColumn id="20" xr3:uid="{00000000-0010-0000-2300-000014000000}" name="Total" dataDxfId="273">
      <calculatedColumnFormula>SUM(Twirling_Solo_Program2891011121314151617373839404142[[#This Row],[J1 TOTAL]]+Twirling_Solo_Program2891011121314151617373839404142[[#This Row],[J2 TOTAL]]+Twirling_Solo_Program2891011121314151617373839404142[[#This Row],[J3 TOTAL]]+Twirling_Solo_Program2891011121314151617373839404142[[#This Row],[J4 TOTAL]])</calculatedColumnFormula>
    </tableColumn>
    <tableColumn id="23" xr3:uid="{00000000-0010-0000-2300-000017000000}" name="Low" dataDxfId="272">
      <calculatedColumnFormula>MIN(Twirling_Solo_Program2891011121314151617373839404142[[#This Row],[J1 TOTAL]],Twirling_Solo_Program2891011121314151617373839404142[[#This Row],[J2 TOTAL]],Twirling_Solo_Program2891011121314151617373839404142[[#This Row],[J3 TOTAL]],Twirling_Solo_Program2891011121314151617373839404142[[#This Row],[J4 TOTAL]])</calculatedColumnFormula>
    </tableColumn>
    <tableColumn id="19" xr3:uid="{00000000-0010-0000-2300-000013000000}" name="High" dataDxfId="271">
      <calculatedColumnFormula>MAX(Twirling_Solo_Program2891011121314151617373839404142[[#This Row],[J1 TOTAL]],Twirling_Solo_Program2891011121314151617373839404142[[#This Row],[J2 TOTAL]],Twirling_Solo_Program2891011121314151617373839404142[[#This Row],[J3 TOTAL]],Twirling_Solo_Program2891011121314151617373839404142[[#This Row],[J4 TOTAL]])</calculatedColumnFormula>
    </tableColumn>
    <tableColumn id="25" xr3:uid="{00000000-0010-0000-2300-000019000000}" name="Final Total" dataDxfId="270">
      <calculatedColumnFormula>SUM(Twirling_Solo_Program2891011121314151617373839404142[[#This Row],[Total]]-Twirling_Solo_Program2891011121314151617373839404142[[#This Row],[Low]]-Twirling_Solo_Program2891011121314151617373839404142[[#This Row],[High]])</calculatedColumnFormula>
    </tableColumn>
    <tableColumn id="24" xr3:uid="{00000000-0010-0000-2300-000018000000}" name="Avg" dataDxfId="269">
      <calculatedColumnFormula>AVERAGE(H2,L2,P2,T2)</calculatedColumnFormula>
    </tableColumn>
    <tableColumn id="22" xr3:uid="{00000000-0010-0000-2300-000016000000}" name="FINAL SCORE" dataDxfId="268">
      <calculatedColumnFormula>Twirling_Solo_Program2891011121314151617373839404142[[#This Row],[Final Total]]</calculatedColumnFormula>
    </tableColumn>
    <tableColumn id="27" xr3:uid="{00000000-0010-0000-2300-00001B000000}" name="Rank" dataDxfId="267">
      <calculatedColumnFormula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Row],[Category]],Twirling_Solo_Program2891011121314151617373839404142[FINAL SCORE],"&gt;"&amp;Twirling_Solo_Program2891011121314151617373839404142[[#This Row],[FINAL SCORE]])+1</calculatedColumnFormula>
    </tableColumn>
    <tableColumn id="39" xr3:uid="{00000000-0010-0000-2300-000027000000}" name="Category Type" dataDxfId="266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E000000}" name="Twirling_Solo_Program289101112131415161737" displayName="Twirling_Solo_Program289101112131415161737" ref="A1:AE2" totalsRowShown="0" headerRowDxfId="430" dataDxfId="429">
  <autoFilter ref="A1:AE2" xr:uid="{00000000-0009-0000-0100-000024000000}"/>
  <tableColumns count="31">
    <tableColumn id="1" xr3:uid="{00000000-0010-0000-1E00-000001000000}" name="Start No." dataDxfId="461"/>
    <tableColumn id="8" xr3:uid="{00000000-0010-0000-1E00-000008000000}" name="Lane" dataDxfId="460"/>
    <tableColumn id="9" xr3:uid="{00000000-0010-0000-1E00-000009000000}" name="Category" dataDxfId="459"/>
    <tableColumn id="32" xr3:uid="{00000000-0010-0000-1E00-000020000000}" name="Age_x000a_Division" dataDxfId="458"/>
    <tableColumn id="4" xr3:uid="{00000000-0010-0000-1E00-000004000000}" name="Athlete" dataDxfId="457"/>
    <tableColumn id="38" xr3:uid="{00000000-0010-0000-1E00-000026000000}" name="Club" dataDxfId="456"/>
    <tableColumn id="37" xr3:uid="{00000000-0010-0000-1E00-000025000000}" name="Country" dataDxfId="455"/>
    <tableColumn id="15" xr3:uid="{00000000-0010-0000-1E00-00000F000000}" name="Judge 1_x000a_Tamara Beljak" dataDxfId="454"/>
    <tableColumn id="33" xr3:uid="{00000000-0010-0000-1E00-000021000000}" name="J1 (-)" dataDxfId="453"/>
    <tableColumn id="26" xr3:uid="{00000000-0010-0000-1E00-00001A000000}" name="J1 TOTAL" dataDxfId="452">
      <calculatedColumnFormula>Twirling_Solo_Program289101112131415161737[[#This Row],[Judge 1
Tamara Beljak]]-I2</calculatedColumnFormula>
    </tableColumn>
    <tableColumn id="3" xr3:uid="{00000000-0010-0000-1E00-000003000000}" name="J1 (Rank)" dataDxfId="451">
      <calculatedColumnFormula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Row],[Category]],Twirling_Solo_Program289101112131415161737[J1 TOTAL],"&gt;"&amp;Twirling_Solo_Program289101112131415161737[[#This Row],[J1 TOTAL]])+1</calculatedColumnFormula>
    </tableColumn>
    <tableColumn id="16" xr3:uid="{00000000-0010-0000-1E00-000010000000}" name="Judge 2_x000a_Tihomir Bendelja" dataDxfId="450"/>
    <tableColumn id="34" xr3:uid="{00000000-0010-0000-1E00-000022000000}" name="J2 (-)" dataDxfId="449"/>
    <tableColumn id="28" xr3:uid="{00000000-0010-0000-1E00-00001C000000}" name="J2 TOTAL" dataDxfId="448">
      <calculatedColumnFormula>Twirling_Solo_Program289101112131415161737[[#This Row],[Judge 2
Tihomir Bendelja]]-Twirling_Solo_Program289101112131415161737[[#This Row],[J2 (-)]]</calculatedColumnFormula>
    </tableColumn>
    <tableColumn id="5" xr3:uid="{00000000-0010-0000-1E00-000005000000}" name="J2 (Rank)" dataDxfId="447">
      <calculatedColumnFormula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Row],[Category]],Twirling_Solo_Program289101112131415161737[J2 TOTAL],"&gt;"&amp;Twirling_Solo_Program289101112131415161737[[#This Row],[J2 TOTAL]])+1</calculatedColumnFormula>
    </tableColumn>
    <tableColumn id="17" xr3:uid="{00000000-0010-0000-1E00-000011000000}" name="Judge 3_x000a_Lucija Ljubičić" dataDxfId="446"/>
    <tableColumn id="35" xr3:uid="{00000000-0010-0000-1E00-000023000000}" name="J3 (-)" dataDxfId="445"/>
    <tableColumn id="30" xr3:uid="{00000000-0010-0000-1E00-00001E000000}" name="J3 TOTAL" dataDxfId="444">
      <calculatedColumnFormula>Twirling_Solo_Program289101112131415161737[[#This Row],[Judge 3
Lucija Ljubičić]]-Q2</calculatedColumnFormula>
    </tableColumn>
    <tableColumn id="6" xr3:uid="{00000000-0010-0000-1E00-000006000000}" name="J3 (Rank)" dataDxfId="443">
      <calculatedColumnFormula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Row],[Category]],Twirling_Solo_Program289101112131415161737[J3 TOTAL],"&gt;"&amp;Twirling_Solo_Program289101112131415161737[[#This Row],[J3 TOTAL]])+1</calculatedColumnFormula>
    </tableColumn>
    <tableColumn id="18" xr3:uid="{00000000-0010-0000-1E00-000012000000}" name="Judge 4_x000a_Bernard Barač" dataDxfId="442"/>
    <tableColumn id="36" xr3:uid="{00000000-0010-0000-1E00-000024000000}" name="J4 (-)" dataDxfId="441"/>
    <tableColumn id="31" xr3:uid="{00000000-0010-0000-1E00-00001F000000}" name="J4 TOTAL" dataDxfId="440">
      <calculatedColumnFormula>Twirling_Solo_Program289101112131415161737[[#This Row],[Judge 4
Bernard Barač]]-U2</calculatedColumnFormula>
    </tableColumn>
    <tableColumn id="7" xr3:uid="{00000000-0010-0000-1E00-000007000000}" name="J4 (Rank)" dataDxfId="439">
      <calculatedColumnFormula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Row],[Category]],Twirling_Solo_Program289101112131415161737[J4 TOTAL],"&gt;"&amp;Twirling_Solo_Program289101112131415161737[[#This Row],[J4 TOTAL]])+1</calculatedColumnFormula>
    </tableColumn>
    <tableColumn id="20" xr3:uid="{00000000-0010-0000-1E00-000014000000}" name="Total" dataDxfId="438">
      <calculatedColumnFormula>SUM(Twirling_Solo_Program289101112131415161737[[#This Row],[J1 TOTAL]]+Twirling_Solo_Program289101112131415161737[[#This Row],[J2 TOTAL]]+Twirling_Solo_Program289101112131415161737[[#This Row],[J3 TOTAL]]+Twirling_Solo_Program289101112131415161737[[#This Row],[J4 TOTAL]])</calculatedColumnFormula>
    </tableColumn>
    <tableColumn id="23" xr3:uid="{00000000-0010-0000-1E00-000017000000}" name="Low" dataDxfId="437">
      <calculatedColumnFormula>MIN(Twirling_Solo_Program289101112131415161737[[#This Row],[J1 TOTAL]],Twirling_Solo_Program289101112131415161737[[#This Row],[J2 TOTAL]],Twirling_Solo_Program289101112131415161737[[#This Row],[J3 TOTAL]],Twirling_Solo_Program289101112131415161737[[#This Row],[J4 TOTAL]])</calculatedColumnFormula>
    </tableColumn>
    <tableColumn id="19" xr3:uid="{00000000-0010-0000-1E00-000013000000}" name="High" dataDxfId="436">
      <calculatedColumnFormula>MAX(Twirling_Solo_Program289101112131415161737[[#This Row],[J1 TOTAL]],Twirling_Solo_Program289101112131415161737[[#This Row],[J2 TOTAL]],Twirling_Solo_Program289101112131415161737[[#This Row],[J3 TOTAL]],Twirling_Solo_Program289101112131415161737[[#This Row],[J4 TOTAL]])</calculatedColumnFormula>
    </tableColumn>
    <tableColumn id="25" xr3:uid="{00000000-0010-0000-1E00-000019000000}" name="Final Total" dataDxfId="435">
      <calculatedColumnFormula>SUM(Twirling_Solo_Program289101112131415161737[[#This Row],[Total]]-Twirling_Solo_Program289101112131415161737[[#This Row],[Low]]-Twirling_Solo_Program289101112131415161737[[#This Row],[High]])</calculatedColumnFormula>
    </tableColumn>
    <tableColumn id="24" xr3:uid="{00000000-0010-0000-1E00-000018000000}" name="Avg" dataDxfId="434">
      <calculatedColumnFormula>AVERAGE(H2,L2,P2,T2)</calculatedColumnFormula>
    </tableColumn>
    <tableColumn id="22" xr3:uid="{00000000-0010-0000-1E00-000016000000}" name="FINAL SCORE" dataDxfId="433">
      <calculatedColumnFormula>Twirling_Solo_Program289101112131415161737[[#This Row],[Final Total]]</calculatedColumnFormula>
    </tableColumn>
    <tableColumn id="27" xr3:uid="{00000000-0010-0000-1E00-00001B000000}" name="Rank" dataDxfId="432">
      <calculatedColumnFormula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Row],[Category]],Twirling_Solo_Program289101112131415161737[FINAL SCORE],"&gt;"&amp;Twirling_Solo_Program289101112131415161737[[#This Row],[FINAL SCORE]])+1</calculatedColumnFormula>
    </tableColumn>
    <tableColumn id="39" xr3:uid="{00000000-0010-0000-1E00-000027000000}" name="Category Type" dataDxfId="43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2000000}" name="Twirling_Solo_Program289101112131415161718192022232425" displayName="Twirling_Solo_Program289101112131415161718192022232425" ref="A1:AE3" totalsRowShown="0" headerRowDxfId="793" dataDxfId="792">
  <autoFilter ref="A1:AE3" xr:uid="{00000000-0009-0000-0100-000018000000}"/>
  <sortState xmlns:xlrd2="http://schemas.microsoft.com/office/spreadsheetml/2017/richdata2" ref="A2:AE3">
    <sortCondition ref="AD2:AD3"/>
  </sortState>
  <tableColumns count="31">
    <tableColumn id="1" xr3:uid="{00000000-0010-0000-1200-000001000000}" name="Start No." dataDxfId="824"/>
    <tableColumn id="8" xr3:uid="{00000000-0010-0000-1200-000008000000}" name="Lane" dataDxfId="823"/>
    <tableColumn id="9" xr3:uid="{00000000-0010-0000-1200-000009000000}" name="Category" dataDxfId="822"/>
    <tableColumn id="32" xr3:uid="{00000000-0010-0000-1200-000020000000}" name="Age_x000a_Division" dataDxfId="821"/>
    <tableColumn id="4" xr3:uid="{00000000-0010-0000-1200-000004000000}" name="Athlete" dataDxfId="820"/>
    <tableColumn id="38" xr3:uid="{00000000-0010-0000-1200-000026000000}" name="Club" dataDxfId="819"/>
    <tableColumn id="37" xr3:uid="{00000000-0010-0000-1200-000025000000}" name="Country" dataDxfId="818"/>
    <tableColumn id="15" xr3:uid="{00000000-0010-0000-1200-00000F000000}" name="Judge 1_x000a_Tamara Beljak" dataDxfId="817"/>
    <tableColumn id="33" xr3:uid="{00000000-0010-0000-1200-000021000000}" name="J1 (-)" dataDxfId="816"/>
    <tableColumn id="26" xr3:uid="{00000000-0010-0000-1200-00001A000000}" name="J1 TOTAL" dataDxfId="815">
      <calculatedColumnFormula>Twirling_Solo_Program289101112131415161718192022232425[[#This Row],[Judge 1
Tamara Beljak]]-I2</calculatedColumnFormula>
    </tableColumn>
    <tableColumn id="3" xr3:uid="{00000000-0010-0000-1200-000003000000}" name="J1 (Rank)" dataDxfId="814">
      <calculatedColumnFormula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Row],[Category]],Twirling_Solo_Program289101112131415161718192022232425[J1 TOTAL],"&gt;"&amp;Twirling_Solo_Program289101112131415161718192022232425[[#This Row],[J1 TOTAL]])+1</calculatedColumnFormula>
    </tableColumn>
    <tableColumn id="16" xr3:uid="{00000000-0010-0000-1200-000010000000}" name="Judge 2_x000a_Tihomir Bendelja" dataDxfId="813"/>
    <tableColumn id="34" xr3:uid="{00000000-0010-0000-1200-000022000000}" name="J2 (-)" dataDxfId="812"/>
    <tableColumn id="28" xr3:uid="{00000000-0010-0000-1200-00001C000000}" name="J2 TOTAL" dataDxfId="811">
      <calculatedColumnFormula>Twirling_Solo_Program289101112131415161718192022232425[[#This Row],[Judge 2
Tihomir Bendelja]]-Twirling_Solo_Program289101112131415161718192022232425[[#This Row],[J2 (-)]]</calculatedColumnFormula>
    </tableColumn>
    <tableColumn id="5" xr3:uid="{00000000-0010-0000-1200-000005000000}" name="J2 (Rank)" dataDxfId="810">
      <calculatedColumnFormula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Row],[Category]],Twirling_Solo_Program289101112131415161718192022232425[J2 TOTAL],"&gt;"&amp;Twirling_Solo_Program289101112131415161718192022232425[[#This Row],[J2 TOTAL]])+1</calculatedColumnFormula>
    </tableColumn>
    <tableColumn id="17" xr3:uid="{00000000-0010-0000-1200-000011000000}" name="Judge 3_x000a_Lucija Ljubičić" dataDxfId="809"/>
    <tableColumn id="35" xr3:uid="{00000000-0010-0000-1200-000023000000}" name="J3 (-)" dataDxfId="808"/>
    <tableColumn id="30" xr3:uid="{00000000-0010-0000-1200-00001E000000}" name="J3 TOTAL" dataDxfId="807">
      <calculatedColumnFormula>Twirling_Solo_Program289101112131415161718192022232425[[#This Row],[Judge 3
Lucija Ljubičić]]-Q2</calculatedColumnFormula>
    </tableColumn>
    <tableColumn id="6" xr3:uid="{00000000-0010-0000-1200-000006000000}" name="J3 (Rank)" dataDxfId="806">
      <calculatedColumnFormula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Row],[Category]],Twirling_Solo_Program289101112131415161718192022232425[J3 TOTAL],"&gt;"&amp;Twirling_Solo_Program289101112131415161718192022232425[[#This Row],[J3 TOTAL]])+1</calculatedColumnFormula>
    </tableColumn>
    <tableColumn id="18" xr3:uid="{00000000-0010-0000-1200-000012000000}" name="Judge 4_x000a_Bernard Barač" dataDxfId="805"/>
    <tableColumn id="36" xr3:uid="{00000000-0010-0000-1200-000024000000}" name="J4 (-)" dataDxfId="804"/>
    <tableColumn id="31" xr3:uid="{00000000-0010-0000-1200-00001F000000}" name="J4 TOTAL" dataDxfId="803">
      <calculatedColumnFormula>Twirling_Solo_Program289101112131415161718192022232425[[#This Row],[Judge 4
Bernard Barač]]-U2</calculatedColumnFormula>
    </tableColumn>
    <tableColumn id="7" xr3:uid="{00000000-0010-0000-1200-000007000000}" name="J4 (Rank)" dataDxfId="802">
      <calculatedColumnFormula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Row],[Category]],Twirling_Solo_Program289101112131415161718192022232425[J4 TOTAL],"&gt;"&amp;Twirling_Solo_Program289101112131415161718192022232425[[#This Row],[J4 TOTAL]])+1</calculatedColumnFormula>
    </tableColumn>
    <tableColumn id="20" xr3:uid="{00000000-0010-0000-1200-000014000000}" name="Total" dataDxfId="801">
      <calculatedColumnFormula>SUM(Twirling_Solo_Program289101112131415161718192022232425[[#This Row],[J1 TOTAL]]+Twirling_Solo_Program289101112131415161718192022232425[[#This Row],[J2 TOTAL]]+Twirling_Solo_Program289101112131415161718192022232425[[#This Row],[J3 TOTAL]]+Twirling_Solo_Program289101112131415161718192022232425[[#This Row],[J4 TOTAL]])</calculatedColumnFormula>
    </tableColumn>
    <tableColumn id="23" xr3:uid="{00000000-0010-0000-1200-000017000000}" name="Low" dataDxfId="800"/>
    <tableColumn id="19" xr3:uid="{00000000-0010-0000-1200-000013000000}" name="High" dataDxfId="799"/>
    <tableColumn id="25" xr3:uid="{00000000-0010-0000-1200-000019000000}" name="Final Total" dataDxfId="798">
      <calculatedColumnFormula>SUM(Twirling_Solo_Program289101112131415161718192022232425[[#This Row],[Total]]-Twirling_Solo_Program289101112131415161718192022232425[[#This Row],[Low]]-Twirling_Solo_Program289101112131415161718192022232425[[#This Row],[High]])</calculatedColumnFormula>
    </tableColumn>
    <tableColumn id="24" xr3:uid="{00000000-0010-0000-1200-000018000000}" name="Avg" dataDxfId="797">
      <calculatedColumnFormula>AVERAGE(H2,L2,P2,T2)</calculatedColumnFormula>
    </tableColumn>
    <tableColumn id="22" xr3:uid="{00000000-0010-0000-1200-000016000000}" name="FINAL SCORE" dataDxfId="796">
      <calculatedColumnFormula>Twirling_Solo_Program289101112131415161718192022232425[[#This Row],[Final Total]]</calculatedColumnFormula>
    </tableColumn>
    <tableColumn id="27" xr3:uid="{00000000-0010-0000-1200-00001B000000}" name="Rank" dataDxfId="795">
      <calculatedColumnFormula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Row],[Category]],Twirling_Solo_Program289101112131415161718192022232425[FINAL SCORE],"&gt;"&amp;Twirling_Solo_Program289101112131415161718192022232425[[#This Row],[FINAL SCORE]])+1</calculatedColumnFormula>
    </tableColumn>
    <tableColumn id="39" xr3:uid="{00000000-0010-0000-1200-000027000000}" name="Category Type" dataDxfId="79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Twirling_Solo_Program28910111213141516171819" displayName="Twirling_Solo_Program28910111213141516171819" ref="A1:AE8" totalsRowShown="0" headerRowDxfId="958" dataDxfId="957">
  <autoFilter ref="A1:AE8" xr:uid="{00000000-0009-0000-0100-000012000000}"/>
  <sortState xmlns:xlrd2="http://schemas.microsoft.com/office/spreadsheetml/2017/richdata2" ref="A2:AE8">
    <sortCondition ref="AD2:AD8"/>
  </sortState>
  <tableColumns count="31">
    <tableColumn id="1" xr3:uid="{00000000-0010-0000-0D00-000001000000}" name="Start No." dataDxfId="989"/>
    <tableColumn id="8" xr3:uid="{00000000-0010-0000-0D00-000008000000}" name="Lane" dataDxfId="988"/>
    <tableColumn id="9" xr3:uid="{00000000-0010-0000-0D00-000009000000}" name="Category" dataDxfId="987"/>
    <tableColumn id="32" xr3:uid="{00000000-0010-0000-0D00-000020000000}" name="Age_x000a_Division" dataDxfId="986"/>
    <tableColumn id="4" xr3:uid="{00000000-0010-0000-0D00-000004000000}" name="Athlete" dataDxfId="985"/>
    <tableColumn id="38" xr3:uid="{00000000-0010-0000-0D00-000026000000}" name="Club" dataDxfId="984"/>
    <tableColumn id="37" xr3:uid="{00000000-0010-0000-0D00-000025000000}" name="Country" dataDxfId="983"/>
    <tableColumn id="15" xr3:uid="{00000000-0010-0000-0D00-00000F000000}" name="Judge 1_x000a_Tamara Beljak" dataDxfId="982"/>
    <tableColumn id="33" xr3:uid="{00000000-0010-0000-0D00-000021000000}" name="J1 (-)" dataDxfId="981"/>
    <tableColumn id="26" xr3:uid="{00000000-0010-0000-0D00-00001A000000}" name="J1 TOTAL" dataDxfId="980">
      <calculatedColumnFormula>Twirling_Solo_Program28910111213141516171819[[#This Row],[Judge 1
Tamara Beljak]]-I2</calculatedColumnFormula>
    </tableColumn>
    <tableColumn id="3" xr3:uid="{00000000-0010-0000-0D00-000003000000}" name="J1 (Rank)" dataDxfId="979">
      <calculatedColumnFormula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Row],[Category]],Twirling_Solo_Program28910111213141516171819[J1 TOTAL],"&gt;"&amp;Twirling_Solo_Program28910111213141516171819[[#This Row],[J1 TOTAL]])+1</calculatedColumnFormula>
    </tableColumn>
    <tableColumn id="16" xr3:uid="{00000000-0010-0000-0D00-000010000000}" name="Judge 2_x000a_Tihomir Bendelja" dataDxfId="978"/>
    <tableColumn id="34" xr3:uid="{00000000-0010-0000-0D00-000022000000}" name="J2 (-)" dataDxfId="977"/>
    <tableColumn id="28" xr3:uid="{00000000-0010-0000-0D00-00001C000000}" name="J2 TOTAL" dataDxfId="976">
      <calculatedColumnFormula>Twirling_Solo_Program28910111213141516171819[[#This Row],[Judge 2
Tihomir Bendelja]]-Twirling_Solo_Program28910111213141516171819[[#This Row],[J2 (-)]]</calculatedColumnFormula>
    </tableColumn>
    <tableColumn id="5" xr3:uid="{00000000-0010-0000-0D00-000005000000}" name="J2 (Rank)" dataDxfId="975">
      <calculatedColumnFormula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Row],[Category]],Twirling_Solo_Program28910111213141516171819[J2 TOTAL],"&gt;"&amp;Twirling_Solo_Program28910111213141516171819[[#This Row],[J2 TOTAL]])+1</calculatedColumnFormula>
    </tableColumn>
    <tableColumn id="17" xr3:uid="{00000000-0010-0000-0D00-000011000000}" name="Judge 3_x000a_Lucija Ljubičić" dataDxfId="974"/>
    <tableColumn id="35" xr3:uid="{00000000-0010-0000-0D00-000023000000}" name="J3 (-)" dataDxfId="973"/>
    <tableColumn id="30" xr3:uid="{00000000-0010-0000-0D00-00001E000000}" name="J3 TOTAL" dataDxfId="972">
      <calculatedColumnFormula>Twirling_Solo_Program28910111213141516171819[[#This Row],[Judge 3
Lucija Ljubičić]]-Q2</calculatedColumnFormula>
    </tableColumn>
    <tableColumn id="6" xr3:uid="{00000000-0010-0000-0D00-000006000000}" name="J3 (Rank)" dataDxfId="971">
      <calculatedColumnFormula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Row],[Category]],Twirling_Solo_Program28910111213141516171819[J3 TOTAL],"&gt;"&amp;Twirling_Solo_Program28910111213141516171819[[#This Row],[J3 TOTAL]])+1</calculatedColumnFormula>
    </tableColumn>
    <tableColumn id="18" xr3:uid="{00000000-0010-0000-0D00-000012000000}" name="Judge 4_x000a_Bernard Barač" dataDxfId="970"/>
    <tableColumn id="36" xr3:uid="{00000000-0010-0000-0D00-000024000000}" name="J4 (-)" dataDxfId="969"/>
    <tableColumn id="31" xr3:uid="{00000000-0010-0000-0D00-00001F000000}" name="J4 TOTAL" dataDxfId="968">
      <calculatedColumnFormula>Twirling_Solo_Program28910111213141516171819[[#This Row],[Judge 4
Bernard Barač]]-U2</calculatedColumnFormula>
    </tableColumn>
    <tableColumn id="7" xr3:uid="{00000000-0010-0000-0D00-000007000000}" name="J4 (Rank)" dataDxfId="967">
      <calculatedColumnFormula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Row],[Category]],Twirling_Solo_Program28910111213141516171819[J4 TOTAL],"&gt;"&amp;Twirling_Solo_Program28910111213141516171819[[#This Row],[J4 TOTAL]])+1</calculatedColumnFormula>
    </tableColumn>
    <tableColumn id="20" xr3:uid="{00000000-0010-0000-0D00-000014000000}" name="Total" dataDxfId="966">
      <calculatedColumnFormula>SUM(Twirling_Solo_Program28910111213141516171819[[#This Row],[J1 TOTAL]]+Twirling_Solo_Program28910111213141516171819[[#This Row],[J2 TOTAL]]+Twirling_Solo_Program28910111213141516171819[[#This Row],[J3 TOTAL]]+Twirling_Solo_Program28910111213141516171819[[#This Row],[J4 TOTAL]])</calculatedColumnFormula>
    </tableColumn>
    <tableColumn id="23" xr3:uid="{00000000-0010-0000-0D00-000017000000}" name="Low" dataDxfId="965"/>
    <tableColumn id="19" xr3:uid="{00000000-0010-0000-0D00-000013000000}" name="High" dataDxfId="964"/>
    <tableColumn id="25" xr3:uid="{00000000-0010-0000-0D00-000019000000}" name="Final Total" dataDxfId="963">
      <calculatedColumnFormula>SUM(Twirling_Solo_Program28910111213141516171819[[#This Row],[Total]]-Twirling_Solo_Program28910111213141516171819[[#This Row],[Low]]-Twirling_Solo_Program28910111213141516171819[[#This Row],[High]])</calculatedColumnFormula>
    </tableColumn>
    <tableColumn id="24" xr3:uid="{00000000-0010-0000-0D00-000018000000}" name="Avg" dataDxfId="962">
      <calculatedColumnFormula>AVERAGE(H2,L2,P2,T2)</calculatedColumnFormula>
    </tableColumn>
    <tableColumn id="22" xr3:uid="{00000000-0010-0000-0D00-000016000000}" name="FINAL SCORE" dataDxfId="961">
      <calculatedColumnFormula>Twirling_Solo_Program28910111213141516171819[[#This Row],[Final Total]]</calculatedColumnFormula>
    </tableColumn>
    <tableColumn id="27" xr3:uid="{00000000-0010-0000-0D00-00001B000000}" name="Rank" dataDxfId="960">
      <calculatedColumnFormula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Row],[Category]],Twirling_Solo_Program28910111213141516171819[FINAL SCORE],"&gt;"&amp;Twirling_Solo_Program28910111213141516171819[[#This Row],[FINAL SCORE]])+1</calculatedColumnFormula>
    </tableColumn>
    <tableColumn id="39" xr3:uid="{00000000-0010-0000-0D00-000027000000}" name="Category Type" dataDxfId="95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8000000}" name="Twirling_Solo_Program289101112131415161718192022232425262728293031" displayName="Twirling_Solo_Program289101112131415161718192022232425262728293031" ref="A1:AE6" totalsRowShown="0" headerRowDxfId="1450">
  <autoFilter ref="A1:AE6" xr:uid="{00000000-0009-0000-0100-00001E000000}"/>
  <sortState xmlns:xlrd2="http://schemas.microsoft.com/office/spreadsheetml/2017/richdata2" ref="A2:AE6">
    <sortCondition ref="AD2:AD6"/>
  </sortState>
  <tableColumns count="31">
    <tableColumn id="1" xr3:uid="{00000000-0010-0000-1800-000001000000}" name="Start No." dataDxfId="1449"/>
    <tableColumn id="8" xr3:uid="{00000000-0010-0000-1800-000008000000}" name="Lane" dataDxfId="1448"/>
    <tableColumn id="9" xr3:uid="{00000000-0010-0000-1800-000009000000}" name="Category" dataDxfId="1447"/>
    <tableColumn id="32" xr3:uid="{00000000-0010-0000-1800-000020000000}" name="Age_x000a_Division" dataDxfId="1446"/>
    <tableColumn id="4" xr3:uid="{00000000-0010-0000-1800-000004000000}" name="Athlete" dataDxfId="1445"/>
    <tableColumn id="38" xr3:uid="{00000000-0010-0000-1800-000026000000}" name="Club" dataDxfId="1444"/>
    <tableColumn id="37" xr3:uid="{00000000-0010-0000-1800-000025000000}" name="Country" dataDxfId="1443"/>
    <tableColumn id="15" xr3:uid="{00000000-0010-0000-1800-00000F000000}" name="Judge 1_x000a_Tamara Beljak" dataDxfId="1442"/>
    <tableColumn id="33" xr3:uid="{00000000-0010-0000-1800-000021000000}" name="J1 (-)" dataDxfId="1441"/>
    <tableColumn id="26" xr3:uid="{00000000-0010-0000-1800-00001A000000}" name="J1 TOTAL" dataDxfId="1440">
      <calculatedColumnFormula>Twirling_Solo_Program289101112131415161718192022232425262728293031[[#This Row],[Judge 1
Tamara Beljak]]-I2</calculatedColumnFormula>
    </tableColumn>
    <tableColumn id="3" xr3:uid="{00000000-0010-0000-1800-000003000000}" name="J1 (Rank)" dataDxfId="1439">
      <calculatedColumnFormula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Row],[Category]],Twirling_Solo_Program289101112131415161718192022232425262728293031[J1 TOTAL],"&gt;"&amp;Twirling_Solo_Program289101112131415161718192022232425262728293031[[#This Row],[J1 TOTAL]])+1</calculatedColumnFormula>
    </tableColumn>
    <tableColumn id="16" xr3:uid="{00000000-0010-0000-1800-000010000000}" name="Judge 2_x000a_Tihomir Bendelja" dataDxfId="1438"/>
    <tableColumn id="34" xr3:uid="{00000000-0010-0000-1800-000022000000}" name="J2 (-)" dataDxfId="1437"/>
    <tableColumn id="28" xr3:uid="{00000000-0010-0000-1800-00001C000000}" name="J2 TOTAL" dataDxfId="1436">
      <calculatedColumnFormula>Twirling_Solo_Program289101112131415161718192022232425262728293031[[#This Row],[Judge 2
Tihomir Bendelja]]-Twirling_Solo_Program289101112131415161718192022232425262728293031[[#This Row],[J2 (-)]]</calculatedColumnFormula>
    </tableColumn>
    <tableColumn id="5" xr3:uid="{00000000-0010-0000-1800-000005000000}" name="J2 (Rank)" dataDxfId="1435">
      <calculatedColumnFormula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Row],[Category]],Twirling_Solo_Program289101112131415161718192022232425262728293031[J2 TOTAL],"&gt;"&amp;Twirling_Solo_Program289101112131415161718192022232425262728293031[[#This Row],[J2 TOTAL]])+1</calculatedColumnFormula>
    </tableColumn>
    <tableColumn id="17" xr3:uid="{00000000-0010-0000-1800-000011000000}" name="Judge 3_x000a_Lucija Ljubičić" dataDxfId="1434"/>
    <tableColumn id="35" xr3:uid="{00000000-0010-0000-1800-000023000000}" name="J3 (-)" dataDxfId="1433"/>
    <tableColumn id="30" xr3:uid="{00000000-0010-0000-1800-00001E000000}" name="J3 TOTAL" dataDxfId="1432">
      <calculatedColumnFormula>Twirling_Solo_Program289101112131415161718192022232425262728293031[[#This Row],[Judge 3
Lucija Ljubičić]]-Q2</calculatedColumnFormula>
    </tableColumn>
    <tableColumn id="6" xr3:uid="{00000000-0010-0000-1800-000006000000}" name="J3 (Rank)" dataDxfId="1431">
      <calculatedColumnFormula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Row],[Category]],Twirling_Solo_Program289101112131415161718192022232425262728293031[J3 TOTAL],"&gt;"&amp;Twirling_Solo_Program289101112131415161718192022232425262728293031[[#This Row],[J3 TOTAL]])+1</calculatedColumnFormula>
    </tableColumn>
    <tableColumn id="18" xr3:uid="{00000000-0010-0000-1800-000012000000}" name="Judge 4_x000a_Bernard Barač" dataDxfId="1430"/>
    <tableColumn id="36" xr3:uid="{00000000-0010-0000-1800-000024000000}" name="J4 (-)" dataDxfId="1429"/>
    <tableColumn id="31" xr3:uid="{00000000-0010-0000-1800-00001F000000}" name="J4 TOTAL" dataDxfId="1428">
      <calculatedColumnFormula>Twirling_Solo_Program289101112131415161718192022232425262728293031[[#This Row],[Judge 4
Bernard Barač]]-U2</calculatedColumnFormula>
    </tableColumn>
    <tableColumn id="7" xr3:uid="{00000000-0010-0000-1800-000007000000}" name="J4 (Rank)" dataDxfId="1427">
      <calculatedColumnFormula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Row],[Category]],Twirling_Solo_Program289101112131415161718192022232425262728293031[J4 TOTAL],"&gt;"&amp;Twirling_Solo_Program289101112131415161718192022232425262728293031[[#This Row],[J4 TOTAL]])+1</calculatedColumnFormula>
    </tableColumn>
    <tableColumn id="20" xr3:uid="{00000000-0010-0000-1800-000014000000}" name="Total" dataDxfId="1426">
      <calculatedColumnFormula>SUM(Twirling_Solo_Program289101112131415161718192022232425262728293031[[#This Row],[J1 TOTAL]]+Twirling_Solo_Program289101112131415161718192022232425262728293031[[#This Row],[J2 TOTAL]]+Twirling_Solo_Program289101112131415161718192022232425262728293031[[#This Row],[J3 TOTAL]]+Twirling_Solo_Program289101112131415161718192022232425262728293031[[#This Row],[J4 TOTAL]])</calculatedColumnFormula>
    </tableColumn>
    <tableColumn id="23" xr3:uid="{00000000-0010-0000-1800-000017000000}" name="Low" dataDxfId="1425"/>
    <tableColumn id="19" xr3:uid="{00000000-0010-0000-1800-000013000000}" name="High" dataDxfId="1424"/>
    <tableColumn id="25" xr3:uid="{00000000-0010-0000-1800-000019000000}" name="Final Total" dataDxfId="1423">
      <calculatedColumnFormula>Twirling_Solo_Program289101112131415161718192022232425262728293031[[#This Row],[Total]]</calculatedColumnFormula>
    </tableColumn>
    <tableColumn id="24" xr3:uid="{00000000-0010-0000-1800-000018000000}" name="Avg" dataDxfId="1422">
      <calculatedColumnFormula>AVERAGE(H2,L2,P2,T2)</calculatedColumnFormula>
    </tableColumn>
    <tableColumn id="22" xr3:uid="{00000000-0010-0000-1800-000016000000}" name="FINAL SCORE" dataDxfId="1421">
      <calculatedColumnFormula>Twirling_Solo_Program289101112131415161718192022232425262728293031[[#This Row],[Final Total]]</calculatedColumnFormula>
    </tableColumn>
    <tableColumn id="27" xr3:uid="{00000000-0010-0000-1800-00001B000000}" name="Rank" dataDxfId="1420">
      <calculatedColumnFormula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Row],[Category]],Twirling_Solo_Program289101112131415161718192022232425262728293031[FINAL SCORE],"&gt;"&amp;Twirling_Solo_Program289101112131415161718192022232425262728293031[[#This Row],[FINAL SCORE]])+1</calculatedColumnFormula>
    </tableColumn>
    <tableColumn id="39" xr3:uid="{00000000-0010-0000-1800-000027000000}" name="Category Type" dataDxfId="141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6000000}" name="Twirling_Solo_Program289101112131415161718192022232425262728293031343536434445" displayName="Twirling_Solo_Program289101112131415161718192022232425262728293031343536434445" ref="A1:AE3" totalsRowShown="0" headerRowDxfId="166" dataDxfId="165">
  <autoFilter ref="A1:AE3" xr:uid="{00000000-0009-0000-0100-00002C000000}"/>
  <sortState xmlns:xlrd2="http://schemas.microsoft.com/office/spreadsheetml/2017/richdata2" ref="A2:AE3">
    <sortCondition ref="AD2:AD3"/>
  </sortState>
  <tableColumns count="31">
    <tableColumn id="1" xr3:uid="{00000000-0010-0000-2600-000001000000}" name="Start No." dataDxfId="197"/>
    <tableColumn id="8" xr3:uid="{00000000-0010-0000-2600-000008000000}" name="Lane" dataDxfId="196"/>
    <tableColumn id="9" xr3:uid="{00000000-0010-0000-2600-000009000000}" name="Category" dataDxfId="195"/>
    <tableColumn id="32" xr3:uid="{00000000-0010-0000-2600-000020000000}" name="Age_x000a_Division" dataDxfId="194"/>
    <tableColumn id="4" xr3:uid="{00000000-0010-0000-2600-000004000000}" name="Athlete" dataDxfId="193"/>
    <tableColumn id="38" xr3:uid="{00000000-0010-0000-2600-000026000000}" name="Club" dataDxfId="192"/>
    <tableColumn id="37" xr3:uid="{00000000-0010-0000-2600-000025000000}" name="Country" dataDxfId="191"/>
    <tableColumn id="15" xr3:uid="{00000000-0010-0000-2600-00000F000000}" name="Judge 1_x000a_Tamara Beljak" dataDxfId="190"/>
    <tableColumn id="33" xr3:uid="{00000000-0010-0000-2600-000021000000}" name="J1 (-)" dataDxfId="189"/>
    <tableColumn id="26" xr3:uid="{00000000-0010-0000-2600-00001A000000}" name="J1 TOTAL" dataDxfId="188">
      <calculatedColumnFormula>Twirling_Solo_Program289101112131415161718192022232425262728293031343536434445[[#This Row],[Judge 1
Tamara Beljak]]-I2</calculatedColumnFormula>
    </tableColumn>
    <tableColumn id="3" xr3:uid="{00000000-0010-0000-2600-000003000000}" name="J1 (Rank)" dataDxfId="187">
      <calculatedColumnFormula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Row],[Category]],Twirling_Solo_Program289101112131415161718192022232425262728293031343536434445[J1 TOTAL],"&gt;"&amp;Twirling_Solo_Program289101112131415161718192022232425262728293031343536434445[[#This Row],[J1 TOTAL]])+1</calculatedColumnFormula>
    </tableColumn>
    <tableColumn id="16" xr3:uid="{00000000-0010-0000-2600-000010000000}" name="Judge 2_x000a_Tihomir Bendelja" dataDxfId="186"/>
    <tableColumn id="34" xr3:uid="{00000000-0010-0000-2600-000022000000}" name="J2 (-)" dataDxfId="185"/>
    <tableColumn id="28" xr3:uid="{00000000-0010-0000-2600-00001C000000}" name="J2 TOTAL" dataDxfId="184">
      <calculatedColumnFormula>Twirling_Solo_Program289101112131415161718192022232425262728293031343536434445[[#This Row],[Judge 2
Tihomir Bendelja]]-Twirling_Solo_Program289101112131415161718192022232425262728293031343536434445[[#This Row],[J2 (-)]]</calculatedColumnFormula>
    </tableColumn>
    <tableColumn id="5" xr3:uid="{00000000-0010-0000-2600-000005000000}" name="J2 (Rank)" dataDxfId="183">
      <calculatedColumnFormula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Row],[Category]],Twirling_Solo_Program289101112131415161718192022232425262728293031343536434445[J2 TOTAL],"&gt;"&amp;Twirling_Solo_Program289101112131415161718192022232425262728293031343536434445[[#This Row],[J2 TOTAL]])+1</calculatedColumnFormula>
    </tableColumn>
    <tableColumn id="17" xr3:uid="{00000000-0010-0000-2600-000011000000}" name="Judge 3_x000a_Lucija Ljubičić" dataDxfId="182"/>
    <tableColumn id="35" xr3:uid="{00000000-0010-0000-2600-000023000000}" name="J3 (-)" dataDxfId="181"/>
    <tableColumn id="30" xr3:uid="{00000000-0010-0000-2600-00001E000000}" name="J3 TOTAL" dataDxfId="180">
      <calculatedColumnFormula>Twirling_Solo_Program289101112131415161718192022232425262728293031343536434445[[#This Row],[Judge 3
Lucija Ljubičić]]-Q2</calculatedColumnFormula>
    </tableColumn>
    <tableColumn id="6" xr3:uid="{00000000-0010-0000-2600-000006000000}" name="J3 (Rank)" dataDxfId="179">
      <calculatedColumnFormula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Row],[Category]],Twirling_Solo_Program289101112131415161718192022232425262728293031343536434445[J3 TOTAL],"&gt;"&amp;Twirling_Solo_Program289101112131415161718192022232425262728293031343536434445[[#This Row],[J3 TOTAL]])+1</calculatedColumnFormula>
    </tableColumn>
    <tableColumn id="18" xr3:uid="{00000000-0010-0000-2600-000012000000}" name="Judge 4_x000a_Bernard Barač" dataDxfId="178"/>
    <tableColumn id="36" xr3:uid="{00000000-0010-0000-2600-000024000000}" name="J4 (-)" dataDxfId="177"/>
    <tableColumn id="31" xr3:uid="{00000000-0010-0000-2600-00001F000000}" name="J4 TOTAL" dataDxfId="176">
      <calculatedColumnFormula>Twirling_Solo_Program289101112131415161718192022232425262728293031343536434445[[#This Row],[Judge 4
Bernard Barač]]-U2</calculatedColumnFormula>
    </tableColumn>
    <tableColumn id="7" xr3:uid="{00000000-0010-0000-2600-000007000000}" name="J4 (Rank)" dataDxfId="175">
      <calculatedColumnFormula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Row],[Category]],Twirling_Solo_Program289101112131415161718192022232425262728293031343536434445[J4 TOTAL],"&gt;"&amp;Twirling_Solo_Program289101112131415161718192022232425262728293031343536434445[[#This Row],[J4 TOTAL]])+1</calculatedColumnFormula>
    </tableColumn>
    <tableColumn id="20" xr3:uid="{00000000-0010-0000-2600-000014000000}" name="Total" dataDxfId="174">
      <calculatedColumnFormula>SUM(Twirling_Solo_Program289101112131415161718192022232425262728293031343536434445[[#This Row],[J1 TOTAL]]+Twirling_Solo_Program289101112131415161718192022232425262728293031343536434445[[#This Row],[J2 TOTAL]]+Twirling_Solo_Program289101112131415161718192022232425262728293031343536434445[[#This Row],[J3 TOTAL]]+Twirling_Solo_Program289101112131415161718192022232425262728293031343536434445[[#This Row],[J4 TOTAL]])</calculatedColumnFormula>
    </tableColumn>
    <tableColumn id="23" xr3:uid="{00000000-0010-0000-2600-000017000000}" name="Low" dataDxfId="173"/>
    <tableColumn id="19" xr3:uid="{00000000-0010-0000-2600-000013000000}" name="High" dataDxfId="172"/>
    <tableColumn id="25" xr3:uid="{00000000-0010-0000-2600-000019000000}" name="Final Total" dataDxfId="171">
      <calculatedColumnFormula>Twirling_Solo_Program289101112131415161718192022232425262728293031343536434445[[#This Row],[Total]]</calculatedColumnFormula>
    </tableColumn>
    <tableColumn id="24" xr3:uid="{00000000-0010-0000-2600-000018000000}" name="Avg" dataDxfId="170">
      <calculatedColumnFormula>AVERAGE(H2,L2,P2,T2)</calculatedColumnFormula>
    </tableColumn>
    <tableColumn id="22" xr3:uid="{00000000-0010-0000-2600-000016000000}" name="FINAL SCORE" dataDxfId="169">
      <calculatedColumnFormula>Twirling_Solo_Program289101112131415161718192022232425262728293031343536434445[[#This Row],[Final Total]]</calculatedColumnFormula>
    </tableColumn>
    <tableColumn id="27" xr3:uid="{00000000-0010-0000-2600-00001B000000}" name="Rank" dataDxfId="168">
      <calculatedColumnFormula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Row],[Category]],Twirling_Solo_Program289101112131415161718192022232425262728293031343536434445[FINAL SCORE],"&gt;"&amp;Twirling_Solo_Program289101112131415161718192022232425262728293031343536434445[[#This Row],[FINAL SCORE]])+1</calculatedColumnFormula>
    </tableColumn>
    <tableColumn id="39" xr3:uid="{00000000-0010-0000-2600-000027000000}" name="Category Type" dataDxfId="16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5000000}" name="Twirling_Solo_Program289101112131415161718192022232425262728" displayName="Twirling_Solo_Program289101112131415161718192022232425262728" ref="A1:AE2" totalsRowShown="0" headerRowDxfId="694" dataDxfId="693">
  <autoFilter ref="A1:AE2" xr:uid="{00000000-0009-0000-0100-00001B000000}"/>
  <tableColumns count="31">
    <tableColumn id="1" xr3:uid="{00000000-0010-0000-1500-000001000000}" name="Start No." dataDxfId="725"/>
    <tableColumn id="8" xr3:uid="{00000000-0010-0000-1500-000008000000}" name="Lane" dataDxfId="724"/>
    <tableColumn id="9" xr3:uid="{00000000-0010-0000-1500-000009000000}" name="Category" dataDxfId="723"/>
    <tableColumn id="32" xr3:uid="{00000000-0010-0000-1500-000020000000}" name="Age_x000a_Division" dataDxfId="722"/>
    <tableColumn id="4" xr3:uid="{00000000-0010-0000-1500-000004000000}" name="Athlete" dataDxfId="721"/>
    <tableColumn id="38" xr3:uid="{00000000-0010-0000-1500-000026000000}" name="Club" dataDxfId="720"/>
    <tableColumn id="37" xr3:uid="{00000000-0010-0000-1500-000025000000}" name="Country" dataDxfId="719"/>
    <tableColumn id="15" xr3:uid="{00000000-0010-0000-1500-00000F000000}" name="Judge 1_x000a_Tamara Beljak" dataDxfId="718"/>
    <tableColumn id="33" xr3:uid="{00000000-0010-0000-1500-000021000000}" name="J1 (-)" dataDxfId="717"/>
    <tableColumn id="26" xr3:uid="{00000000-0010-0000-1500-00001A000000}" name="J1 TOTAL" dataDxfId="716">
      <calculatedColumnFormula>Twirling_Solo_Program289101112131415161718192022232425262728[[#This Row],[Judge 1
Tamara Beljak]]-I2</calculatedColumnFormula>
    </tableColumn>
    <tableColumn id="3" xr3:uid="{00000000-0010-0000-1500-000003000000}" name="J1 (Rank)" dataDxfId="715">
      <calculatedColumnFormula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Row],[Category]],Twirling_Solo_Program289101112131415161718192022232425262728[J1 TOTAL],"&gt;"&amp;Twirling_Solo_Program289101112131415161718192022232425262728[[#This Row],[J1 TOTAL]])+1</calculatedColumnFormula>
    </tableColumn>
    <tableColumn id="16" xr3:uid="{00000000-0010-0000-1500-000010000000}" name="Judge 2_x000a_Tihomir Bendelja" dataDxfId="714"/>
    <tableColumn id="34" xr3:uid="{00000000-0010-0000-1500-000022000000}" name="J2 (-)" dataDxfId="713"/>
    <tableColumn id="28" xr3:uid="{00000000-0010-0000-1500-00001C000000}" name="J2 TOTAL" dataDxfId="712">
      <calculatedColumnFormula>Twirling_Solo_Program289101112131415161718192022232425262728[[#This Row],[Judge 2
Tihomir Bendelja]]-Twirling_Solo_Program289101112131415161718192022232425262728[[#This Row],[J2 (-)]]</calculatedColumnFormula>
    </tableColumn>
    <tableColumn id="5" xr3:uid="{00000000-0010-0000-1500-000005000000}" name="J2 (Rank)" dataDxfId="711">
      <calculatedColumnFormula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Row],[Category]],Twirling_Solo_Program289101112131415161718192022232425262728[J2 TOTAL],"&gt;"&amp;Twirling_Solo_Program289101112131415161718192022232425262728[[#This Row],[J2 TOTAL]])+1</calculatedColumnFormula>
    </tableColumn>
    <tableColumn id="17" xr3:uid="{00000000-0010-0000-1500-000011000000}" name="Judge 3_x000a_Lucija Ljubičić" dataDxfId="710"/>
    <tableColumn id="35" xr3:uid="{00000000-0010-0000-1500-000023000000}" name="J3 (-)" dataDxfId="709"/>
    <tableColumn id="30" xr3:uid="{00000000-0010-0000-1500-00001E000000}" name="J3 TOTAL" dataDxfId="708">
      <calculatedColumnFormula>Twirling_Solo_Program289101112131415161718192022232425262728[[#This Row],[Judge 3
Lucija Ljubičić]]-Q2</calculatedColumnFormula>
    </tableColumn>
    <tableColumn id="6" xr3:uid="{00000000-0010-0000-1500-000006000000}" name="J3 (Rank)" dataDxfId="707">
      <calculatedColumnFormula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Row],[Category]],Twirling_Solo_Program289101112131415161718192022232425262728[J3 TOTAL],"&gt;"&amp;Twirling_Solo_Program289101112131415161718192022232425262728[[#This Row],[J3 TOTAL]])+1</calculatedColumnFormula>
    </tableColumn>
    <tableColumn id="18" xr3:uid="{00000000-0010-0000-1500-000012000000}" name="Judge 4_x000a_Bernard Barač" dataDxfId="706"/>
    <tableColumn id="36" xr3:uid="{00000000-0010-0000-1500-000024000000}" name="J4 (-)" dataDxfId="705"/>
    <tableColumn id="31" xr3:uid="{00000000-0010-0000-1500-00001F000000}" name="J4 TOTAL" dataDxfId="704">
      <calculatedColumnFormula>Twirling_Solo_Program289101112131415161718192022232425262728[[#This Row],[Judge 4
Bernard Barač]]-U2</calculatedColumnFormula>
    </tableColumn>
    <tableColumn id="7" xr3:uid="{00000000-0010-0000-1500-000007000000}" name="J4 (Rank)" dataDxfId="703">
      <calculatedColumnFormula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Row],[Category]],Twirling_Solo_Program289101112131415161718192022232425262728[J4 TOTAL],"&gt;"&amp;Twirling_Solo_Program289101112131415161718192022232425262728[[#This Row],[J4 TOTAL]])+1</calculatedColumnFormula>
    </tableColumn>
    <tableColumn id="20" xr3:uid="{00000000-0010-0000-1500-000014000000}" name="Total" dataDxfId="702">
      <calculatedColumnFormula>SUM(Twirling_Solo_Program289101112131415161718192022232425262728[[#This Row],[J1 TOTAL]]+Twirling_Solo_Program289101112131415161718192022232425262728[[#This Row],[J2 TOTAL]]+Twirling_Solo_Program289101112131415161718192022232425262728[[#This Row],[J3 TOTAL]]+Twirling_Solo_Program289101112131415161718192022232425262728[[#This Row],[J4 TOTAL]])</calculatedColumnFormula>
    </tableColumn>
    <tableColumn id="23" xr3:uid="{00000000-0010-0000-1500-000017000000}" name="Low" dataDxfId="701"/>
    <tableColumn id="19" xr3:uid="{00000000-0010-0000-1500-000013000000}" name="High" dataDxfId="700"/>
    <tableColumn id="25" xr3:uid="{00000000-0010-0000-1500-000019000000}" name="Final Total" dataDxfId="699">
      <calculatedColumnFormula>SUM(Twirling_Solo_Program289101112131415161718192022232425262728[[#This Row],[Total]]-Twirling_Solo_Program289101112131415161718192022232425262728[[#This Row],[Low]]-Twirling_Solo_Program289101112131415161718192022232425262728[[#This Row],[High]])</calculatedColumnFormula>
    </tableColumn>
    <tableColumn id="24" xr3:uid="{00000000-0010-0000-1500-000018000000}" name="Avg" dataDxfId="698">
      <calculatedColumnFormula>AVERAGE(H2,L2,P2,T2)</calculatedColumnFormula>
    </tableColumn>
    <tableColumn id="22" xr3:uid="{00000000-0010-0000-1500-000016000000}" name="FINAL SCORE" dataDxfId="697">
      <calculatedColumnFormula>Twirling_Solo_Program289101112131415161718192022232425262728[[#This Row],[Final Total]]</calculatedColumnFormula>
    </tableColumn>
    <tableColumn id="27" xr3:uid="{00000000-0010-0000-1500-00001B000000}" name="Rank" dataDxfId="696">
      <calculatedColumnFormula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Row],[Category]],Twirling_Solo_Program289101112131415161718192022232425262728[FINAL SCORE],"&gt;"&amp;Twirling_Solo_Program289101112131415161718192022232425262728[[#This Row],[FINAL SCORE]])+1</calculatedColumnFormula>
    </tableColumn>
    <tableColumn id="39" xr3:uid="{00000000-0010-0000-1500-000027000000}" name="Category Type" dataDxfId="69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X9"/>
  <sheetViews>
    <sheetView tabSelected="1"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3.109375" style="43" customWidth="1"/>
    <col min="4" max="4" width="11.77734375" style="53" customWidth="1"/>
    <col min="5" max="5" width="21.33203125" style="45" customWidth="1"/>
    <col min="6" max="6" width="49.5546875" style="45" bestFit="1" customWidth="1"/>
    <col min="7" max="7" width="13.33203125" style="45" bestFit="1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34</v>
      </c>
      <c r="B2" s="57">
        <v>1</v>
      </c>
      <c r="C2" s="44" t="s">
        <v>62</v>
      </c>
      <c r="D2" s="57" t="s">
        <v>36</v>
      </c>
      <c r="E2" s="57" t="s">
        <v>68</v>
      </c>
      <c r="F2" s="57" t="s">
        <v>31</v>
      </c>
      <c r="G2" s="57" t="s">
        <v>32</v>
      </c>
      <c r="H2" s="46"/>
      <c r="I2" s="47"/>
      <c r="J2" s="48">
        <f>Twirling_Solo_Program28910111213141516171819202223[[#This Row],[Judge 1
Tamara Beljak]]-I2</f>
        <v>0</v>
      </c>
      <c r="K2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f>
        <v>1</v>
      </c>
      <c r="L2" s="46">
        <v>27.7</v>
      </c>
      <c r="M2" s="47">
        <v>1</v>
      </c>
      <c r="N2" s="48">
        <f>Twirling_Solo_Program28910111213141516171819202223[[#This Row],[Judge 2
Tihomir Bendelja]]-Twirling_Solo_Program28910111213141516171819202223[[#This Row],[J2 (-)]]</f>
        <v>26.7</v>
      </c>
      <c r="O2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f>
        <v>1</v>
      </c>
      <c r="P2" s="46"/>
      <c r="Q2" s="47"/>
      <c r="R2" s="48">
        <f>Twirling_Solo_Program28910111213141516171819202223[[#This Row],[Judge 3
Lucija Ljubičić]]-Q2</f>
        <v>0</v>
      </c>
      <c r="S2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f>
        <v>1</v>
      </c>
      <c r="T2" s="46">
        <v>27.4</v>
      </c>
      <c r="U2" s="47">
        <v>1</v>
      </c>
      <c r="V2" s="48">
        <f>Twirling_Solo_Program28910111213141516171819202223[[#This Row],[Judge 4
Bernard Barač]]-U2</f>
        <v>26.4</v>
      </c>
      <c r="W2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f>
        <v>1</v>
      </c>
      <c r="X2" s="62">
        <f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f>
        <v>53.099999999999994</v>
      </c>
      <c r="Y2" s="50"/>
      <c r="Z2" s="50"/>
      <c r="AA2" s="50">
        <f>SUM(Twirling_Solo_Program28910111213141516171819202223[[#This Row],[Total]]-Twirling_Solo_Program28910111213141516171819202223[[#This Row],[Low]]-Twirling_Solo_Program28910111213141516171819202223[[#This Row],[High]])</f>
        <v>53.099999999999994</v>
      </c>
      <c r="AB2" s="59">
        <f t="shared" ref="AB2:AB9" si="0">AVERAGE(H2,L2,P2,T2)</f>
        <v>27.549999999999997</v>
      </c>
      <c r="AC2" s="51">
        <f>Twirling_Solo_Program28910111213141516171819202223[[#This Row],[Final Total]]</f>
        <v>53.099999999999994</v>
      </c>
      <c r="AD2" s="60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f>
        <v>1</v>
      </c>
      <c r="AE2" s="61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44</v>
      </c>
      <c r="B3" s="57">
        <v>1</v>
      </c>
      <c r="C3" s="44" t="s">
        <v>62</v>
      </c>
      <c r="D3" s="57" t="s">
        <v>36</v>
      </c>
      <c r="E3" s="57" t="s">
        <v>80</v>
      </c>
      <c r="F3" s="57" t="s">
        <v>31</v>
      </c>
      <c r="G3" s="57" t="s">
        <v>32</v>
      </c>
      <c r="H3" s="46"/>
      <c r="I3" s="47"/>
      <c r="J3" s="48">
        <f>Twirling_Solo_Program28910111213141516171819202223[[#This Row],[Judge 1
Tamara Beljak]]-I3</f>
        <v>0</v>
      </c>
      <c r="K3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f>
        <v>1</v>
      </c>
      <c r="L3" s="46">
        <v>24.8</v>
      </c>
      <c r="M3" s="47">
        <v>0.5</v>
      </c>
      <c r="N3" s="48">
        <f>Twirling_Solo_Program28910111213141516171819202223[[#This Row],[Judge 2
Tihomir Bendelja]]-Twirling_Solo_Program28910111213141516171819202223[[#This Row],[J2 (-)]]</f>
        <v>24.3</v>
      </c>
      <c r="O3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f>
        <v>2</v>
      </c>
      <c r="P3" s="46"/>
      <c r="Q3" s="47"/>
      <c r="R3" s="48">
        <f>Twirling_Solo_Program28910111213141516171819202223[[#This Row],[Judge 3
Lucija Ljubičić]]-Q3</f>
        <v>0</v>
      </c>
      <c r="S3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f>
        <v>1</v>
      </c>
      <c r="T3" s="46">
        <v>25.8</v>
      </c>
      <c r="U3" s="47">
        <v>0.5</v>
      </c>
      <c r="V3" s="48">
        <f>Twirling_Solo_Program28910111213141516171819202223[[#This Row],[Judge 4
Bernard Barač]]-U3</f>
        <v>25.3</v>
      </c>
      <c r="W3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f>
        <v>2</v>
      </c>
      <c r="X3" s="62">
        <f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f>
        <v>49.6</v>
      </c>
      <c r="Y3" s="50"/>
      <c r="Z3" s="50"/>
      <c r="AA3" s="50">
        <f>SUM(Twirling_Solo_Program28910111213141516171819202223[[#This Row],[Total]]-Twirling_Solo_Program28910111213141516171819202223[[#This Row],[Low]]-Twirling_Solo_Program28910111213141516171819202223[[#This Row],[High]])</f>
        <v>49.6</v>
      </c>
      <c r="AB3" s="59">
        <f t="shared" si="0"/>
        <v>25.3</v>
      </c>
      <c r="AC3" s="51">
        <f>Twirling_Solo_Program28910111213141516171819202223[[#This Row],[Final Total]]</f>
        <v>49.6</v>
      </c>
      <c r="AD3" s="60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f>
        <v>2</v>
      </c>
      <c r="AE3" s="61" t="s">
        <v>51</v>
      </c>
    </row>
    <row r="4" spans="1:50" ht="15.6" x14ac:dyDescent="0.3">
      <c r="A4" s="56">
        <v>42</v>
      </c>
      <c r="B4" s="57">
        <v>1</v>
      </c>
      <c r="C4" s="44" t="s">
        <v>62</v>
      </c>
      <c r="D4" s="57" t="s">
        <v>36</v>
      </c>
      <c r="E4" s="57" t="s">
        <v>78</v>
      </c>
      <c r="F4" s="57" t="s">
        <v>40</v>
      </c>
      <c r="G4" s="57" t="s">
        <v>26</v>
      </c>
      <c r="H4" s="46"/>
      <c r="I4" s="47"/>
      <c r="J4" s="48">
        <f>Twirling_Solo_Program28910111213141516171819202223[[#This Row],[Judge 1
Tamara Beljak]]-I4</f>
        <v>0</v>
      </c>
      <c r="K4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f>
        <v>1</v>
      </c>
      <c r="L4" s="46">
        <v>20.9</v>
      </c>
      <c r="M4" s="47">
        <v>0.5</v>
      </c>
      <c r="N4" s="48">
        <f>Twirling_Solo_Program28910111213141516171819202223[[#This Row],[Judge 2
Tihomir Bendelja]]-Twirling_Solo_Program28910111213141516171819202223[[#This Row],[J2 (-)]]</f>
        <v>20.399999999999999</v>
      </c>
      <c r="O4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f>
        <v>4</v>
      </c>
      <c r="P4" s="46"/>
      <c r="Q4" s="47"/>
      <c r="R4" s="48">
        <f>Twirling_Solo_Program28910111213141516171819202223[[#This Row],[Judge 3
Lucija Ljubičić]]-Q4</f>
        <v>0</v>
      </c>
      <c r="S4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f>
        <v>1</v>
      </c>
      <c r="T4" s="46">
        <v>22.5</v>
      </c>
      <c r="U4" s="47">
        <v>0.5</v>
      </c>
      <c r="V4" s="48">
        <f>Twirling_Solo_Program28910111213141516171819202223[[#This Row],[Judge 4
Bernard Barač]]-U4</f>
        <v>22</v>
      </c>
      <c r="W4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f>
        <v>3</v>
      </c>
      <c r="X4" s="62">
        <f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f>
        <v>42.4</v>
      </c>
      <c r="Y4" s="50"/>
      <c r="Z4" s="50"/>
      <c r="AA4" s="50">
        <f>SUM(Twirling_Solo_Program28910111213141516171819202223[[#This Row],[Total]]-Twirling_Solo_Program28910111213141516171819202223[[#This Row],[Low]]-Twirling_Solo_Program28910111213141516171819202223[[#This Row],[High]])</f>
        <v>42.4</v>
      </c>
      <c r="AB4" s="59">
        <f t="shared" si="0"/>
        <v>21.7</v>
      </c>
      <c r="AC4" s="51">
        <f>Twirling_Solo_Program28910111213141516171819202223[[#This Row],[Final Total]]</f>
        <v>42.4</v>
      </c>
      <c r="AD4" s="60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f>
        <v>3</v>
      </c>
      <c r="AE4" s="61" t="s">
        <v>51</v>
      </c>
    </row>
    <row r="5" spans="1:50" ht="15.6" x14ac:dyDescent="0.3">
      <c r="A5" s="56">
        <v>36</v>
      </c>
      <c r="B5" s="57">
        <v>1</v>
      </c>
      <c r="C5" s="44" t="s">
        <v>62</v>
      </c>
      <c r="D5" s="57" t="s">
        <v>36</v>
      </c>
      <c r="E5" s="57" t="s">
        <v>70</v>
      </c>
      <c r="F5" s="57" t="s">
        <v>40</v>
      </c>
      <c r="G5" s="57" t="s">
        <v>26</v>
      </c>
      <c r="H5" s="46"/>
      <c r="I5" s="47"/>
      <c r="J5" s="48">
        <f>Twirling_Solo_Program28910111213141516171819202223[[#This Row],[Judge 1
Tamara Beljak]]-I5</f>
        <v>0</v>
      </c>
      <c r="K5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f>
        <v>1</v>
      </c>
      <c r="L5" s="46">
        <v>22.2</v>
      </c>
      <c r="M5" s="47">
        <v>0.5</v>
      </c>
      <c r="N5" s="48">
        <f>Twirling_Solo_Program28910111213141516171819202223[[#This Row],[Judge 2
Tihomir Bendelja]]-Twirling_Solo_Program28910111213141516171819202223[[#This Row],[J2 (-)]]</f>
        <v>21.7</v>
      </c>
      <c r="O5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f>
        <v>3</v>
      </c>
      <c r="P5" s="46"/>
      <c r="Q5" s="47"/>
      <c r="R5" s="48">
        <f>Twirling_Solo_Program28910111213141516171819202223[[#This Row],[Judge 3
Lucija Ljubičić]]-Q5</f>
        <v>0</v>
      </c>
      <c r="S5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f>
        <v>1</v>
      </c>
      <c r="T5" s="46">
        <v>21.1</v>
      </c>
      <c r="U5" s="47">
        <v>0.5</v>
      </c>
      <c r="V5" s="48">
        <f>Twirling_Solo_Program28910111213141516171819202223[[#This Row],[Judge 4
Bernard Barač]]-U5</f>
        <v>20.6</v>
      </c>
      <c r="W5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f>
        <v>4</v>
      </c>
      <c r="X5" s="62">
        <f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f>
        <v>42.3</v>
      </c>
      <c r="Y5" s="50"/>
      <c r="Z5" s="50"/>
      <c r="AA5" s="50">
        <f>SUM(Twirling_Solo_Program28910111213141516171819202223[[#This Row],[Total]]-Twirling_Solo_Program28910111213141516171819202223[[#This Row],[Low]]-Twirling_Solo_Program28910111213141516171819202223[[#This Row],[High]])</f>
        <v>42.3</v>
      </c>
      <c r="AB5" s="59">
        <f t="shared" si="0"/>
        <v>21.65</v>
      </c>
      <c r="AC5" s="51">
        <f>Twirling_Solo_Program28910111213141516171819202223[[#This Row],[Final Total]]</f>
        <v>42.3</v>
      </c>
      <c r="AD5" s="60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f>
        <v>4</v>
      </c>
      <c r="AE5" s="61" t="s">
        <v>51</v>
      </c>
    </row>
    <row r="6" spans="1:50" ht="15.6" x14ac:dyDescent="0.3">
      <c r="A6" s="61">
        <v>30</v>
      </c>
      <c r="B6" s="44">
        <v>1</v>
      </c>
      <c r="C6" s="44" t="s">
        <v>62</v>
      </c>
      <c r="D6" s="44" t="s">
        <v>36</v>
      </c>
      <c r="E6" s="44" t="s">
        <v>63</v>
      </c>
      <c r="F6" s="44" t="s">
        <v>40</v>
      </c>
      <c r="G6" s="44" t="s">
        <v>26</v>
      </c>
      <c r="H6" s="46"/>
      <c r="I6" s="47"/>
      <c r="J6" s="48">
        <f>Twirling_Solo_Program28910111213141516171819202223[[#This Row],[Judge 1
Tamara Beljak]]-I6</f>
        <v>0</v>
      </c>
      <c r="K6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f>
        <v>1</v>
      </c>
      <c r="L6" s="46">
        <v>19.600000000000001</v>
      </c>
      <c r="M6" s="47">
        <v>0.5</v>
      </c>
      <c r="N6" s="48">
        <f>Twirling_Solo_Program28910111213141516171819202223[[#This Row],[Judge 2
Tihomir Bendelja]]-Twirling_Solo_Program28910111213141516171819202223[[#This Row],[J2 (-)]]</f>
        <v>19.100000000000001</v>
      </c>
      <c r="O6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f>
        <v>5</v>
      </c>
      <c r="P6" s="46"/>
      <c r="Q6" s="47"/>
      <c r="R6" s="48">
        <f>Twirling_Solo_Program28910111213141516171819202223[[#This Row],[Judge 3
Lucija Ljubičić]]-Q6</f>
        <v>0</v>
      </c>
      <c r="S6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f>
        <v>1</v>
      </c>
      <c r="T6" s="46">
        <v>20.7</v>
      </c>
      <c r="U6" s="47">
        <v>0.5</v>
      </c>
      <c r="V6" s="48">
        <f>Twirling_Solo_Program28910111213141516171819202223[[#This Row],[Judge 4
Bernard Barač]]-U6</f>
        <v>20.2</v>
      </c>
      <c r="W6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f>
        <v>5</v>
      </c>
      <c r="X6" s="50">
        <f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f>
        <v>39.299999999999997</v>
      </c>
      <c r="Y6" s="50"/>
      <c r="Z6" s="50"/>
      <c r="AA6" s="50">
        <f>SUM(Twirling_Solo_Program28910111213141516171819202223[[#This Row],[Total]]-Twirling_Solo_Program28910111213141516171819202223[[#This Row],[Low]]-Twirling_Solo_Program28910111213141516171819202223[[#This Row],[High]])</f>
        <v>39.299999999999997</v>
      </c>
      <c r="AB6" s="50">
        <f t="shared" si="0"/>
        <v>20.149999999999999</v>
      </c>
      <c r="AC6" s="51">
        <f>Twirling_Solo_Program28910111213141516171819202223[[#This Row],[Final Total]]</f>
        <v>39.299999999999997</v>
      </c>
      <c r="AD6" s="52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f>
        <v>5</v>
      </c>
      <c r="AE6" s="55" t="s">
        <v>51</v>
      </c>
    </row>
    <row r="7" spans="1:50" ht="15.6" x14ac:dyDescent="0.3">
      <c r="A7" s="56">
        <v>38</v>
      </c>
      <c r="B7" s="57">
        <v>1</v>
      </c>
      <c r="C7" s="44" t="s">
        <v>62</v>
      </c>
      <c r="D7" s="57" t="s">
        <v>36</v>
      </c>
      <c r="E7" s="57" t="s">
        <v>72</v>
      </c>
      <c r="F7" s="57" t="s">
        <v>73</v>
      </c>
      <c r="G7" s="57" t="s">
        <v>26</v>
      </c>
      <c r="H7" s="46"/>
      <c r="I7" s="47"/>
      <c r="J7" s="48">
        <f>Twirling_Solo_Program28910111213141516171819202223[[#This Row],[Judge 1
Tamara Beljak]]-I7</f>
        <v>0</v>
      </c>
      <c r="K7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f>
        <v>1</v>
      </c>
      <c r="L7" s="46">
        <v>17.7</v>
      </c>
      <c r="M7" s="47">
        <v>0.5</v>
      </c>
      <c r="N7" s="48">
        <f>Twirling_Solo_Program28910111213141516171819202223[[#This Row],[Judge 2
Tihomir Bendelja]]-Twirling_Solo_Program28910111213141516171819202223[[#This Row],[J2 (-)]]</f>
        <v>17.2</v>
      </c>
      <c r="O7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f>
        <v>6</v>
      </c>
      <c r="P7" s="46"/>
      <c r="Q7" s="47"/>
      <c r="R7" s="48">
        <f>Twirling_Solo_Program28910111213141516171819202223[[#This Row],[Judge 3
Lucija Ljubičić]]-Q7</f>
        <v>0</v>
      </c>
      <c r="S7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f>
        <v>1</v>
      </c>
      <c r="T7" s="46">
        <v>20.5</v>
      </c>
      <c r="U7" s="47">
        <v>0.5</v>
      </c>
      <c r="V7" s="48">
        <f>Twirling_Solo_Program28910111213141516171819202223[[#This Row],[Judge 4
Bernard Barač]]-U7</f>
        <v>20</v>
      </c>
      <c r="W7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f>
        <v>6</v>
      </c>
      <c r="X7" s="62">
        <f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f>
        <v>37.200000000000003</v>
      </c>
      <c r="Y7" s="50"/>
      <c r="Z7" s="50"/>
      <c r="AA7" s="50">
        <f>SUM(Twirling_Solo_Program28910111213141516171819202223[[#This Row],[Total]]-Twirling_Solo_Program28910111213141516171819202223[[#This Row],[Low]]-Twirling_Solo_Program28910111213141516171819202223[[#This Row],[High]])</f>
        <v>37.200000000000003</v>
      </c>
      <c r="AB7" s="59">
        <f t="shared" si="0"/>
        <v>19.100000000000001</v>
      </c>
      <c r="AC7" s="51">
        <f>Twirling_Solo_Program28910111213141516171819202223[[#This Row],[Final Total]]</f>
        <v>37.200000000000003</v>
      </c>
      <c r="AD7" s="60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f>
        <v>6</v>
      </c>
      <c r="AE7" s="61" t="s">
        <v>51</v>
      </c>
    </row>
    <row r="8" spans="1:50" ht="15.6" x14ac:dyDescent="0.3">
      <c r="A8" s="56">
        <v>32</v>
      </c>
      <c r="B8" s="57">
        <v>1</v>
      </c>
      <c r="C8" s="44" t="s">
        <v>62</v>
      </c>
      <c r="D8" s="57" t="s">
        <v>36</v>
      </c>
      <c r="E8" s="57" t="s">
        <v>66</v>
      </c>
      <c r="F8" s="57" t="s">
        <v>44</v>
      </c>
      <c r="G8" s="57" t="s">
        <v>30</v>
      </c>
      <c r="H8" s="46"/>
      <c r="I8" s="47"/>
      <c r="J8" s="48">
        <f>Twirling_Solo_Program28910111213141516171819202223[[#This Row],[Judge 1
Tamara Beljak]]-I8</f>
        <v>0</v>
      </c>
      <c r="K8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f>
        <v>1</v>
      </c>
      <c r="L8" s="46">
        <v>9.5</v>
      </c>
      <c r="M8" s="47">
        <v>1</v>
      </c>
      <c r="N8" s="48">
        <f>Twirling_Solo_Program28910111213141516171819202223[[#This Row],[Judge 2
Tihomir Bendelja]]-Twirling_Solo_Program28910111213141516171819202223[[#This Row],[J2 (-)]]</f>
        <v>8.5</v>
      </c>
      <c r="O8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f>
        <v>7</v>
      </c>
      <c r="P8" s="46"/>
      <c r="Q8" s="47"/>
      <c r="R8" s="48">
        <f>Twirling_Solo_Program28910111213141516171819202223[[#This Row],[Judge 3
Lucija Ljubičić]]-Q8</f>
        <v>0</v>
      </c>
      <c r="S8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f>
        <v>1</v>
      </c>
      <c r="T8" s="46">
        <v>10.4</v>
      </c>
      <c r="U8" s="47">
        <v>1</v>
      </c>
      <c r="V8" s="48">
        <f>Twirling_Solo_Program28910111213141516171819202223[[#This Row],[Judge 4
Bernard Barač]]-U8</f>
        <v>9.4</v>
      </c>
      <c r="W8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f>
        <v>8</v>
      </c>
      <c r="X8" s="62">
        <f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f>
        <v>17.899999999999999</v>
      </c>
      <c r="Y8" s="50"/>
      <c r="Z8" s="50"/>
      <c r="AA8" s="50">
        <f>SUM(Twirling_Solo_Program28910111213141516171819202223[[#This Row],[Total]]-Twirling_Solo_Program28910111213141516171819202223[[#This Row],[Low]]-Twirling_Solo_Program28910111213141516171819202223[[#This Row],[High]])</f>
        <v>17.899999999999999</v>
      </c>
      <c r="AB8" s="59">
        <f t="shared" si="0"/>
        <v>9.9499999999999993</v>
      </c>
      <c r="AC8" s="51">
        <f>Twirling_Solo_Program28910111213141516171819202223[[#This Row],[Final Total]]</f>
        <v>17.899999999999999</v>
      </c>
      <c r="AD8" s="60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f>
        <v>7</v>
      </c>
      <c r="AE8" s="61" t="s">
        <v>51</v>
      </c>
    </row>
    <row r="9" spans="1:50" ht="15.6" x14ac:dyDescent="0.3">
      <c r="A9" s="56">
        <v>40</v>
      </c>
      <c r="B9" s="57">
        <v>1</v>
      </c>
      <c r="C9" s="44" t="s">
        <v>62</v>
      </c>
      <c r="D9" s="57" t="s">
        <v>36</v>
      </c>
      <c r="E9" s="57" t="s">
        <v>75</v>
      </c>
      <c r="F9" s="57" t="s">
        <v>44</v>
      </c>
      <c r="G9" s="57" t="s">
        <v>30</v>
      </c>
      <c r="H9" s="46"/>
      <c r="I9" s="47"/>
      <c r="J9" s="48">
        <f>Twirling_Solo_Program28910111213141516171819202223[[#This Row],[Judge 1
Tamara Beljak]]-I9</f>
        <v>0</v>
      </c>
      <c r="K9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Row],[Category]],Twirling_Solo_Program28910111213141516171819202223[J1 TOTAL],"&gt;"&amp;Twirling_Solo_Program28910111213141516171819202223[[#This Row],[J1 TOTAL]])+1</f>
        <v>1</v>
      </c>
      <c r="L9" s="46">
        <v>8.6999999999999993</v>
      </c>
      <c r="M9" s="47">
        <v>0.5</v>
      </c>
      <c r="N9" s="48">
        <f>Twirling_Solo_Program28910111213141516171819202223[[#This Row],[Judge 2
Tihomir Bendelja]]-Twirling_Solo_Program28910111213141516171819202223[[#This Row],[J2 (-)]]</f>
        <v>8.1999999999999993</v>
      </c>
      <c r="O9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Row],[Category]],Twirling_Solo_Program28910111213141516171819202223[J2 TOTAL],"&gt;"&amp;Twirling_Solo_Program28910111213141516171819202223[[#This Row],[J2 TOTAL]])+1</f>
        <v>8</v>
      </c>
      <c r="P9" s="46"/>
      <c r="Q9" s="47"/>
      <c r="R9" s="48">
        <f>Twirling_Solo_Program28910111213141516171819202223[[#This Row],[Judge 3
Lucija Ljubičić]]-Q9</f>
        <v>0</v>
      </c>
      <c r="S9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Row],[Category]],Twirling_Solo_Program28910111213141516171819202223[J3 TOTAL],"&gt;"&amp;Twirling_Solo_Program28910111213141516171819202223[[#This Row],[J3 TOTAL]])+1</f>
        <v>1</v>
      </c>
      <c r="T9" s="46">
        <v>10.199999999999999</v>
      </c>
      <c r="U9" s="47">
        <v>0.5</v>
      </c>
      <c r="V9" s="48">
        <f>Twirling_Solo_Program28910111213141516171819202223[[#This Row],[Judge 4
Bernard Barač]]-U9</f>
        <v>9.6999999999999993</v>
      </c>
      <c r="W9" s="49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Row],[Category]],Twirling_Solo_Program28910111213141516171819202223[J4 TOTAL],"&gt;"&amp;Twirling_Solo_Program28910111213141516171819202223[[#This Row],[J4 TOTAL]])+1</f>
        <v>7</v>
      </c>
      <c r="X9" s="62">
        <f>SUM(Twirling_Solo_Program28910111213141516171819202223[[#This Row],[J1 TOTAL]]+Twirling_Solo_Program28910111213141516171819202223[[#This Row],[J2 TOTAL]]+Twirling_Solo_Program28910111213141516171819202223[[#This Row],[J3 TOTAL]]+Twirling_Solo_Program28910111213141516171819202223[[#This Row],[J4 TOTAL]])</f>
        <v>17.899999999999999</v>
      </c>
      <c r="Y9" s="50"/>
      <c r="Z9" s="50"/>
      <c r="AA9" s="50">
        <f>SUM(Twirling_Solo_Program28910111213141516171819202223[[#This Row],[Total]]-Twirling_Solo_Program28910111213141516171819202223[[#This Row],[Low]]-Twirling_Solo_Program28910111213141516171819202223[[#This Row],[High]])</f>
        <v>17.899999999999999</v>
      </c>
      <c r="AB9" s="59">
        <f t="shared" si="0"/>
        <v>9.4499999999999993</v>
      </c>
      <c r="AC9" s="51">
        <f>Twirling_Solo_Program28910111213141516171819202223[[#This Row],[Final Total]]</f>
        <v>17.899999999999999</v>
      </c>
      <c r="AD9" s="60">
        <f>COUNTIFS(Twirling_Solo_Program28910111213141516171819202223[Age
Division],Twirling_Solo_Program28910111213141516171819202223[[#This Row],[Age
Division]],Twirling_Solo_Program28910111213141516171819202223[Category],Twirling_Solo_Program28910111213141516171819202223[[#This Row],[Category]],Twirling_Solo_Program28910111213141516171819202223[FINAL SCORE],"&gt;"&amp;Twirling_Solo_Program28910111213141516171819202223[[#This Row],[FINAL SCORE]])+1</f>
        <v>7</v>
      </c>
      <c r="AE9" s="61" t="s">
        <v>51</v>
      </c>
    </row>
  </sheetData>
  <sheetProtection algorithmName="SHA-512" hashValue="nkNy4UkJGeWx8+jcapK+ltDP89985rWjlqxuOmOeCftHQHFmtIcdJBgssy+xXBMh2SAvSMcqD6mlAFCCqJZ3FA==" saltValue="nd3kRZYp8SfT/roOmfMvZg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X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3.33203125" style="43" customWidth="1"/>
    <col min="4" max="4" width="9.6640625" style="53" customWidth="1"/>
    <col min="5" max="5" width="13.6640625" style="45" customWidth="1"/>
    <col min="6" max="6" width="40" style="45" customWidth="1"/>
    <col min="7" max="7" width="13" style="45" customWidth="1"/>
    <col min="8" max="9" width="9.21875" style="45" customWidth="1"/>
    <col min="10" max="11" width="9.21875" style="54" customWidth="1"/>
    <col min="12" max="15" width="9.21875" style="54" hidden="1" customWidth="1"/>
    <col min="16" max="19" width="9.21875" style="54" customWidth="1"/>
    <col min="20" max="22" width="9.21875" style="54" hidden="1" customWidth="1"/>
    <col min="23" max="23" width="9.21875" style="45" hidden="1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57</v>
      </c>
      <c r="B2" s="63">
        <v>2</v>
      </c>
      <c r="C2" s="44" t="s">
        <v>91</v>
      </c>
      <c r="D2" s="57" t="s">
        <v>28</v>
      </c>
      <c r="E2" s="57" t="s">
        <v>94</v>
      </c>
      <c r="F2" s="57" t="s">
        <v>77</v>
      </c>
      <c r="G2" s="57" t="s">
        <v>26</v>
      </c>
      <c r="H2" s="46">
        <v>36.1</v>
      </c>
      <c r="I2" s="47">
        <v>1</v>
      </c>
      <c r="J2" s="48">
        <f>Twirling_Solo_Program2891011121314151617181920222324252627[[#This Row],[Judge 1
Tamara Beljak]]-I2</f>
        <v>35.1</v>
      </c>
      <c r="K2" s="49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Row],[Category]],Twirling_Solo_Program2891011121314151617181920222324252627[J1 TOTAL],"&gt;"&amp;Twirling_Solo_Program2891011121314151617181920222324252627[[#This Row],[J1 TOTAL]])+1</f>
        <v>1</v>
      </c>
      <c r="L2" s="46"/>
      <c r="M2" s="47"/>
      <c r="N2" s="48">
        <f>Twirling_Solo_Program2891011121314151617181920222324252627[[#This Row],[Judge 2
Tihomir Bendelja]]-Twirling_Solo_Program2891011121314151617181920222324252627[[#This Row],[J2 (-)]]</f>
        <v>0</v>
      </c>
      <c r="O2" s="49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Row],[Category]],Twirling_Solo_Program2891011121314151617181920222324252627[J2 TOTAL],"&gt;"&amp;Twirling_Solo_Program2891011121314151617181920222324252627[[#This Row],[J2 TOTAL]])+1</f>
        <v>1</v>
      </c>
      <c r="P2" s="46">
        <v>36</v>
      </c>
      <c r="Q2" s="47">
        <v>1</v>
      </c>
      <c r="R2" s="48">
        <f>Twirling_Solo_Program2891011121314151617181920222324252627[[#This Row],[Judge 3
Lucija Ljubičić]]-Q2</f>
        <v>35</v>
      </c>
      <c r="S2" s="49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Row],[Category]],Twirling_Solo_Program2891011121314151617181920222324252627[J3 TOTAL],"&gt;"&amp;Twirling_Solo_Program2891011121314151617181920222324252627[[#This Row],[J3 TOTAL]])+1</f>
        <v>1</v>
      </c>
      <c r="T2" s="46"/>
      <c r="U2" s="47"/>
      <c r="V2" s="48">
        <f>Twirling_Solo_Program2891011121314151617181920222324252627[[#This Row],[Judge 4
Bernard Barač]]-U2</f>
        <v>0</v>
      </c>
      <c r="W2" s="49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Row],[Category]],Twirling_Solo_Program2891011121314151617181920222324252627[J4 TOTAL],"&gt;"&amp;Twirling_Solo_Program2891011121314151617181920222324252627[[#This Row],[J4 TOTAL]])+1</f>
        <v>1</v>
      </c>
      <c r="X2" s="62">
        <f>SUM(Twirling_Solo_Program2891011121314151617181920222324252627[[#This Row],[J1 TOTAL]]+Twirling_Solo_Program2891011121314151617181920222324252627[[#This Row],[J2 TOTAL]]+Twirling_Solo_Program2891011121314151617181920222324252627[[#This Row],[J3 TOTAL]]+Twirling_Solo_Program2891011121314151617181920222324252627[[#This Row],[J4 TOTAL]])</f>
        <v>70.099999999999994</v>
      </c>
      <c r="Y2" s="50"/>
      <c r="Z2" s="50"/>
      <c r="AA2" s="50">
        <f>SUM(Twirling_Solo_Program2891011121314151617181920222324252627[[#This Row],[Total]]-Twirling_Solo_Program2891011121314151617181920222324252627[[#This Row],[Low]]-Twirling_Solo_Program2891011121314151617181920222324252627[[#This Row],[High]])</f>
        <v>70.099999999999994</v>
      </c>
      <c r="AB2" s="59">
        <f>AVERAGE(H2,L2,P2,T2)</f>
        <v>36.049999999999997</v>
      </c>
      <c r="AC2" s="51">
        <f>Twirling_Solo_Program2891011121314151617181920222324252627[[#This Row],[Final Total]]</f>
        <v>70.099999999999994</v>
      </c>
      <c r="AD2" s="60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Row],[Category]],Twirling_Solo_Program2891011121314151617181920222324252627[FINAL SCORE],"&gt;"&amp;Twirling_Solo_Program2891011121314151617181920222324252627[[#This Row],[FINAL SCORE]])+1</f>
        <v>1</v>
      </c>
      <c r="AE2" s="61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55</v>
      </c>
      <c r="B3" s="64">
        <v>2</v>
      </c>
      <c r="C3" s="44" t="s">
        <v>91</v>
      </c>
      <c r="D3" s="44" t="s">
        <v>28</v>
      </c>
      <c r="E3" s="44" t="s">
        <v>92</v>
      </c>
      <c r="F3" s="44" t="s">
        <v>44</v>
      </c>
      <c r="G3" s="44" t="s">
        <v>30</v>
      </c>
      <c r="H3" s="46">
        <v>32.4</v>
      </c>
      <c r="I3" s="47">
        <v>0</v>
      </c>
      <c r="J3" s="48">
        <f>Twirling_Solo_Program2891011121314151617181920222324252627[[#This Row],[Judge 1
Tamara Beljak]]-I3</f>
        <v>32.4</v>
      </c>
      <c r="K3" s="49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Row],[Category]],Twirling_Solo_Program2891011121314151617181920222324252627[J1 TOTAL],"&gt;"&amp;Twirling_Solo_Program2891011121314151617181920222324252627[[#This Row],[J1 TOTAL]])+1</f>
        <v>2</v>
      </c>
      <c r="L3" s="46"/>
      <c r="M3" s="47"/>
      <c r="N3" s="48">
        <f>Twirling_Solo_Program2891011121314151617181920222324252627[[#This Row],[Judge 2
Tihomir Bendelja]]-Twirling_Solo_Program2891011121314151617181920222324252627[[#This Row],[J2 (-)]]</f>
        <v>0</v>
      </c>
      <c r="O3" s="49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Row],[Category]],Twirling_Solo_Program2891011121314151617181920222324252627[J2 TOTAL],"&gt;"&amp;Twirling_Solo_Program2891011121314151617181920222324252627[[#This Row],[J2 TOTAL]])+1</f>
        <v>1</v>
      </c>
      <c r="P3" s="46">
        <v>31.5</v>
      </c>
      <c r="Q3" s="47">
        <v>0</v>
      </c>
      <c r="R3" s="48">
        <f>Twirling_Solo_Program2891011121314151617181920222324252627[[#This Row],[Judge 3
Lucija Ljubičić]]-Q3</f>
        <v>31.5</v>
      </c>
      <c r="S3" s="49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Row],[Category]],Twirling_Solo_Program2891011121314151617181920222324252627[J3 TOTAL],"&gt;"&amp;Twirling_Solo_Program2891011121314151617181920222324252627[[#This Row],[J3 TOTAL]])+1</f>
        <v>2</v>
      </c>
      <c r="T3" s="46"/>
      <c r="U3" s="47"/>
      <c r="V3" s="48">
        <f>Twirling_Solo_Program2891011121314151617181920222324252627[[#This Row],[Judge 4
Bernard Barač]]-U3</f>
        <v>0</v>
      </c>
      <c r="W3" s="49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Row],[Category]],Twirling_Solo_Program2891011121314151617181920222324252627[J4 TOTAL],"&gt;"&amp;Twirling_Solo_Program2891011121314151617181920222324252627[[#This Row],[J4 TOTAL]])+1</f>
        <v>1</v>
      </c>
      <c r="X3" s="50">
        <f>SUM(Twirling_Solo_Program2891011121314151617181920222324252627[[#This Row],[J1 TOTAL]]+Twirling_Solo_Program2891011121314151617181920222324252627[[#This Row],[J2 TOTAL]]+Twirling_Solo_Program2891011121314151617181920222324252627[[#This Row],[J3 TOTAL]]+Twirling_Solo_Program2891011121314151617181920222324252627[[#This Row],[J4 TOTAL]])</f>
        <v>63.9</v>
      </c>
      <c r="Y3" s="50"/>
      <c r="Z3" s="50"/>
      <c r="AA3" s="50">
        <f>SUM(Twirling_Solo_Program2891011121314151617181920222324252627[[#This Row],[Total]]-Twirling_Solo_Program2891011121314151617181920222324252627[[#This Row],[Low]]-Twirling_Solo_Program2891011121314151617181920222324252627[[#This Row],[High]])</f>
        <v>63.9</v>
      </c>
      <c r="AB3" s="50">
        <f>AVERAGE(H3,L3,P3,T3)</f>
        <v>31.95</v>
      </c>
      <c r="AC3" s="51">
        <f>Twirling_Solo_Program2891011121314151617181920222324252627[[#This Row],[Final Total]]</f>
        <v>63.9</v>
      </c>
      <c r="AD3" s="52">
        <f>COUNTIFS(Twirling_Solo_Program2891011121314151617181920222324252627[Age
Division],Twirling_Solo_Program2891011121314151617181920222324252627[[#This Row],[Age
Division]],Twirling_Solo_Program2891011121314151617181920222324252627[Category],Twirling_Solo_Program2891011121314151617181920222324252627[[#This Row],[Category]],Twirling_Solo_Program2891011121314151617181920222324252627[FINAL SCORE],"&gt;"&amp;Twirling_Solo_Program2891011121314151617181920222324252627[[#This Row],[FINAL SCORE]])+1</f>
        <v>2</v>
      </c>
      <c r="AE3" s="55" t="s">
        <v>51</v>
      </c>
    </row>
  </sheetData>
  <sheetProtection algorithmName="SHA-512" hashValue="WFGQtrVkfhTu5u2TIlIOV/zIWeWkdzWum2EoH1Y3zT0nay/KFMemS+Au3gPvOn/P19RibFX8r4hzySVyW4OPkg==" saltValue="BQurEzr3Om4SCz2FFxMQz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X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6.5546875" style="43" customWidth="1"/>
    <col min="4" max="4" width="10.77734375" style="53" customWidth="1"/>
    <col min="5" max="5" width="31.5546875" style="45" customWidth="1"/>
    <col min="6" max="6" width="49.5546875" style="45" bestFit="1" customWidth="1"/>
    <col min="7" max="7" width="13.77734375" style="45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6.7773437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81</v>
      </c>
      <c r="B2" s="64">
        <v>1</v>
      </c>
      <c r="C2" s="44" t="s">
        <v>54</v>
      </c>
      <c r="D2" s="44" t="s">
        <v>36</v>
      </c>
      <c r="E2" s="44" t="s">
        <v>52</v>
      </c>
      <c r="F2" s="44" t="s">
        <v>31</v>
      </c>
      <c r="G2" s="44" t="s">
        <v>32</v>
      </c>
      <c r="H2" s="46"/>
      <c r="I2" s="47"/>
      <c r="J2" s="48">
        <f>Twirling_Solo_Program2891011121314151617181920222324252627282930313435[[#This Row],[Judge 1
Tamara Beljak]]-I2</f>
        <v>0</v>
      </c>
      <c r="K2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Row],[Category]],Twirling_Solo_Program2891011121314151617181920222324252627282930313435[J1 TOTAL],"&gt;"&amp;Twirling_Solo_Program2891011121314151617181920222324252627282930313435[[#This Row],[J1 TOTAL]])+1</f>
        <v>1</v>
      </c>
      <c r="L2" s="46">
        <v>22.7</v>
      </c>
      <c r="M2" s="47">
        <v>0.5</v>
      </c>
      <c r="N2" s="48">
        <f>Twirling_Solo_Program2891011121314151617181920222324252627282930313435[[#This Row],[Judge 2
Tihomir Bendelja]]-Twirling_Solo_Program2891011121314151617181920222324252627282930313435[[#This Row],[J2 (-)]]</f>
        <v>22.2</v>
      </c>
      <c r="O2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Row],[Category]],Twirling_Solo_Program2891011121314151617181920222324252627282930313435[J2 TOTAL],"&gt;"&amp;Twirling_Solo_Program2891011121314151617181920222324252627282930313435[[#This Row],[J2 TOTAL]])+1</f>
        <v>1</v>
      </c>
      <c r="P2" s="46"/>
      <c r="Q2" s="47"/>
      <c r="R2" s="48">
        <f>Twirling_Solo_Program2891011121314151617181920222324252627282930313435[[#This Row],[Judge 3
Lucija Ljubičić]]-Q2</f>
        <v>0</v>
      </c>
      <c r="S2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Row],[Category]],Twirling_Solo_Program2891011121314151617181920222324252627282930313435[J3 TOTAL],"&gt;"&amp;Twirling_Solo_Program2891011121314151617181920222324252627282930313435[[#This Row],[J3 TOTAL]])+1</f>
        <v>1</v>
      </c>
      <c r="T2" s="46">
        <v>23.4</v>
      </c>
      <c r="U2" s="47">
        <v>0.5</v>
      </c>
      <c r="V2" s="48">
        <f>Twirling_Solo_Program2891011121314151617181920222324252627282930313435[[#This Row],[Judge 4
Bernard Barač]]-U2</f>
        <v>22.9</v>
      </c>
      <c r="W2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Row],[Category]],Twirling_Solo_Program2891011121314151617181920222324252627282930313435[J4 TOTAL],"&gt;"&amp;Twirling_Solo_Program2891011121314151617181920222324252627282930313435[[#This Row],[J4 TOTAL]])+1</f>
        <v>1</v>
      </c>
      <c r="X2" s="50">
        <f>SUM(Twirling_Solo_Program2891011121314151617181920222324252627282930313435[[#This Row],[J1 TOTAL]]+Twirling_Solo_Program2891011121314151617181920222324252627282930313435[[#This Row],[J2 TOTAL]]+Twirling_Solo_Program2891011121314151617181920222324252627282930313435[[#This Row],[J3 TOTAL]]+Twirling_Solo_Program2891011121314151617181920222324252627282930313435[[#This Row],[J4 TOTAL]])</f>
        <v>45.099999999999994</v>
      </c>
      <c r="Y2" s="50"/>
      <c r="Z2" s="50"/>
      <c r="AA2" s="50">
        <f>Twirling_Solo_Program2891011121314151617181920222324252627282930313435[[#This Row],[Total]]</f>
        <v>45.099999999999994</v>
      </c>
      <c r="AB2" s="50">
        <f>AVERAGE(H2,L2,P2,T2)</f>
        <v>23.049999999999997</v>
      </c>
      <c r="AC2" s="51">
        <f>Twirling_Solo_Program2891011121314151617181920222324252627282930313435[[#This Row],[Final Total]]</f>
        <v>45.099999999999994</v>
      </c>
      <c r="AD2" s="52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Row],[Category]],Twirling_Solo_Program2891011121314151617181920222324252627282930313435[FINAL SCORE],"&gt;"&amp;Twirling_Solo_Program2891011121314151617181920222324252627282930313435[[#This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83</v>
      </c>
      <c r="B3" s="63">
        <v>1</v>
      </c>
      <c r="C3" s="44" t="s">
        <v>54</v>
      </c>
      <c r="D3" s="57" t="s">
        <v>36</v>
      </c>
      <c r="E3" s="57" t="s">
        <v>120</v>
      </c>
      <c r="F3" s="57" t="s">
        <v>73</v>
      </c>
      <c r="G3" s="57" t="s">
        <v>26</v>
      </c>
      <c r="H3" s="46"/>
      <c r="I3" s="47"/>
      <c r="J3" s="48">
        <f>Twirling_Solo_Program2891011121314151617181920222324252627282930313435[[#This Row],[Judge 1
Tamara Beljak]]-I3</f>
        <v>0</v>
      </c>
      <c r="K3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Row],[Category]],Twirling_Solo_Program2891011121314151617181920222324252627282930313435[J1 TOTAL],"&gt;"&amp;Twirling_Solo_Program2891011121314151617181920222324252627282930313435[[#This Row],[J1 TOTAL]])+1</f>
        <v>1</v>
      </c>
      <c r="L3" s="46">
        <v>14.3</v>
      </c>
      <c r="M3" s="47">
        <v>1.5</v>
      </c>
      <c r="N3" s="48">
        <f>Twirling_Solo_Program2891011121314151617181920222324252627282930313435[[#This Row],[Judge 2
Tihomir Bendelja]]-Twirling_Solo_Program2891011121314151617181920222324252627282930313435[[#This Row],[J2 (-)]]</f>
        <v>12.8</v>
      </c>
      <c r="O3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Row],[Category]],Twirling_Solo_Program2891011121314151617181920222324252627282930313435[J2 TOTAL],"&gt;"&amp;Twirling_Solo_Program2891011121314151617181920222324252627282930313435[[#This Row],[J2 TOTAL]])+1</f>
        <v>2</v>
      </c>
      <c r="P3" s="46"/>
      <c r="Q3" s="47"/>
      <c r="R3" s="48">
        <f>Twirling_Solo_Program2891011121314151617181920222324252627282930313435[[#This Row],[Judge 3
Lucija Ljubičić]]-Q3</f>
        <v>0</v>
      </c>
      <c r="S3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Row],[Category]],Twirling_Solo_Program2891011121314151617181920222324252627282930313435[J3 TOTAL],"&gt;"&amp;Twirling_Solo_Program2891011121314151617181920222324252627282930313435[[#This Row],[J3 TOTAL]])+1</f>
        <v>1</v>
      </c>
      <c r="T3" s="46">
        <v>15.3</v>
      </c>
      <c r="U3" s="47">
        <v>1.6</v>
      </c>
      <c r="V3" s="48">
        <f>Twirling_Solo_Program2891011121314151617181920222324252627282930313435[[#This Row],[Judge 4
Bernard Barač]]-U3</f>
        <v>13.700000000000001</v>
      </c>
      <c r="W3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Row],[Category]],Twirling_Solo_Program2891011121314151617181920222324252627282930313435[J4 TOTAL],"&gt;"&amp;Twirling_Solo_Program2891011121314151617181920222324252627282930313435[[#This Row],[J4 TOTAL]])+1</f>
        <v>2</v>
      </c>
      <c r="X3" s="62">
        <f>SUM(Twirling_Solo_Program2891011121314151617181920222324252627282930313435[[#This Row],[J1 TOTAL]]+Twirling_Solo_Program2891011121314151617181920222324252627282930313435[[#This Row],[J2 TOTAL]]+Twirling_Solo_Program2891011121314151617181920222324252627282930313435[[#This Row],[J3 TOTAL]]+Twirling_Solo_Program2891011121314151617181920222324252627282930313435[[#This Row],[J4 TOTAL]])</f>
        <v>26.5</v>
      </c>
      <c r="Y3" s="50"/>
      <c r="Z3" s="50"/>
      <c r="AA3" s="50">
        <f>Twirling_Solo_Program2891011121314151617181920222324252627282930313435[[#This Row],[Total]]</f>
        <v>26.5</v>
      </c>
      <c r="AB3" s="59">
        <f>AVERAGE(H3,L3,P3,T3)</f>
        <v>14.8</v>
      </c>
      <c r="AC3" s="51">
        <f>Twirling_Solo_Program2891011121314151617181920222324252627282930313435[[#This Row],[Final Total]]</f>
        <v>26.5</v>
      </c>
      <c r="AD3" s="60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Row],[Category]],Twirling_Solo_Program2891011121314151617181920222324252627282930313435[FINAL SCORE],"&gt;"&amp;Twirling_Solo_Program2891011121314151617181920222324252627282930313435[[#This Row],[FINAL SCORE]])+1</f>
        <v>2</v>
      </c>
      <c r="AE3" s="55" t="s">
        <v>48</v>
      </c>
    </row>
    <row r="4" spans="1:50" ht="15.6" x14ac:dyDescent="0.3">
      <c r="A4" s="56">
        <v>85</v>
      </c>
      <c r="B4" s="63">
        <v>1</v>
      </c>
      <c r="C4" s="44" t="s">
        <v>54</v>
      </c>
      <c r="D4" s="57" t="s">
        <v>36</v>
      </c>
      <c r="E4" s="57" t="s">
        <v>121</v>
      </c>
      <c r="F4" s="57" t="s">
        <v>73</v>
      </c>
      <c r="G4" s="57" t="s">
        <v>26</v>
      </c>
      <c r="H4" s="46"/>
      <c r="I4" s="47"/>
      <c r="J4" s="48">
        <f>Twirling_Solo_Program2891011121314151617181920222324252627282930313435[[#This Row],[Judge 1
Tamara Beljak]]-I4</f>
        <v>0</v>
      </c>
      <c r="K4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Row],[Category]],Twirling_Solo_Program2891011121314151617181920222324252627282930313435[J1 TOTAL],"&gt;"&amp;Twirling_Solo_Program2891011121314151617181920222324252627282930313435[[#This Row],[J1 TOTAL]])+1</f>
        <v>1</v>
      </c>
      <c r="L4" s="46">
        <v>13.7</v>
      </c>
      <c r="M4" s="47">
        <v>1</v>
      </c>
      <c r="N4" s="48">
        <f>Twirling_Solo_Program2891011121314151617181920222324252627282930313435[[#This Row],[Judge 2
Tihomir Bendelja]]-Twirling_Solo_Program2891011121314151617181920222324252627282930313435[[#This Row],[J2 (-)]]</f>
        <v>12.7</v>
      </c>
      <c r="O4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Row],[Category]],Twirling_Solo_Program2891011121314151617181920222324252627282930313435[J2 TOTAL],"&gt;"&amp;Twirling_Solo_Program2891011121314151617181920222324252627282930313435[[#This Row],[J2 TOTAL]])+1</f>
        <v>3</v>
      </c>
      <c r="P4" s="46"/>
      <c r="Q4" s="47"/>
      <c r="R4" s="48">
        <f>Twirling_Solo_Program2891011121314151617181920222324252627282930313435[[#This Row],[Judge 3
Lucija Ljubičić]]-Q4</f>
        <v>0</v>
      </c>
      <c r="S4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Row],[Category]],Twirling_Solo_Program2891011121314151617181920222324252627282930313435[J3 TOTAL],"&gt;"&amp;Twirling_Solo_Program2891011121314151617181920222324252627282930313435[[#This Row],[J3 TOTAL]])+1</f>
        <v>1</v>
      </c>
      <c r="T4" s="46">
        <v>14.7</v>
      </c>
      <c r="U4" s="47">
        <v>1.1000000000000001</v>
      </c>
      <c r="V4" s="48">
        <f>Twirling_Solo_Program2891011121314151617181920222324252627282930313435[[#This Row],[Judge 4
Bernard Barač]]-U4</f>
        <v>13.6</v>
      </c>
      <c r="W4" s="49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Row],[Category]],Twirling_Solo_Program2891011121314151617181920222324252627282930313435[J4 TOTAL],"&gt;"&amp;Twirling_Solo_Program2891011121314151617181920222324252627282930313435[[#This Row],[J4 TOTAL]])+1</f>
        <v>3</v>
      </c>
      <c r="X4" s="62">
        <f>SUM(Twirling_Solo_Program2891011121314151617181920222324252627282930313435[[#This Row],[J1 TOTAL]]+Twirling_Solo_Program2891011121314151617181920222324252627282930313435[[#This Row],[J2 TOTAL]]+Twirling_Solo_Program2891011121314151617181920222324252627282930313435[[#This Row],[J3 TOTAL]]+Twirling_Solo_Program2891011121314151617181920222324252627282930313435[[#This Row],[J4 TOTAL]])</f>
        <v>26.299999999999997</v>
      </c>
      <c r="Y4" s="50"/>
      <c r="Z4" s="50"/>
      <c r="AA4" s="50">
        <f>Twirling_Solo_Program2891011121314151617181920222324252627282930313435[[#This Row],[Total]]</f>
        <v>26.299999999999997</v>
      </c>
      <c r="AB4" s="59">
        <f>AVERAGE(H4,L4,P4,T4)</f>
        <v>14.2</v>
      </c>
      <c r="AC4" s="51">
        <f>Twirling_Solo_Program2891011121314151617181920222324252627282930313435[[#This Row],[Final Total]]</f>
        <v>26.299999999999997</v>
      </c>
      <c r="AD4" s="60">
        <f>COUNTIFS(Twirling_Solo_Program2891011121314151617181920222324252627282930313435[Age
Division],Twirling_Solo_Program2891011121314151617181920222324252627282930313435[[#This Row],[Age
Division]],Twirling_Solo_Program2891011121314151617181920222324252627282930313435[Category],Twirling_Solo_Program2891011121314151617181920222324252627282930313435[[#This Row],[Category]],Twirling_Solo_Program2891011121314151617181920222324252627282930313435[FINAL SCORE],"&gt;"&amp;Twirling_Solo_Program2891011121314151617181920222324252627282930313435[[#This Row],[FINAL SCORE]])+1</f>
        <v>3</v>
      </c>
      <c r="AE4" s="55" t="s">
        <v>48</v>
      </c>
    </row>
  </sheetData>
  <sheetProtection algorithmName="SHA-512" hashValue="S5ECGperkJ7bdxml6sHL3AFWm3nOviKU3yzwtVv51vbGdeXA8okGAbXtg2z3wdh6aRLu2ECaN9WQN5qaGhqkTQ==" saltValue="z7Tw9prK/1D2zWRFletiRg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X6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7.33203125" style="43" customWidth="1"/>
    <col min="4" max="4" width="9.88671875" style="53" customWidth="1"/>
    <col min="5" max="5" width="30" style="45" customWidth="1"/>
    <col min="6" max="6" width="46.21875" style="45" bestFit="1" customWidth="1"/>
    <col min="7" max="7" width="8.6640625" style="45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75</v>
      </c>
      <c r="B2" s="64">
        <v>1</v>
      </c>
      <c r="C2" s="44" t="s">
        <v>54</v>
      </c>
      <c r="D2" s="57" t="s">
        <v>24</v>
      </c>
      <c r="E2" s="57" t="s">
        <v>114</v>
      </c>
      <c r="F2" s="57" t="s">
        <v>25</v>
      </c>
      <c r="G2" s="57" t="s">
        <v>26</v>
      </c>
      <c r="H2" s="46"/>
      <c r="I2" s="47"/>
      <c r="J2" s="48">
        <f>Twirling_Solo_Program2891011121314151617181920222324252627282930313233[[#This Row],[Judge 1
Tamara Beljak]]-I2</f>
        <v>0</v>
      </c>
      <c r="K2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Row],[Category]],Twirling_Solo_Program2891011121314151617181920222324252627282930313233[J1 TOTAL],"&gt;"&amp;Twirling_Solo_Program2891011121314151617181920222324252627282930313233[[#This Row],[J1 TOTAL]])+1</f>
        <v>1</v>
      </c>
      <c r="L2" s="46">
        <v>40</v>
      </c>
      <c r="M2" s="47">
        <v>0</v>
      </c>
      <c r="N2" s="48">
        <f>Twirling_Solo_Program2891011121314151617181920222324252627282930313233[[#This Row],[Judge 2
Tihomir Bendelja]]-Twirling_Solo_Program2891011121314151617181920222324252627282930313233[[#This Row],[J2 (-)]]</f>
        <v>40</v>
      </c>
      <c r="O2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Row],[Category]],Twirling_Solo_Program2891011121314151617181920222324252627282930313233[J2 TOTAL],"&gt;"&amp;Twirling_Solo_Program2891011121314151617181920222324252627282930313233[[#This Row],[J2 TOTAL]])+1</f>
        <v>1</v>
      </c>
      <c r="P2" s="46"/>
      <c r="Q2" s="47"/>
      <c r="R2" s="48">
        <f>Twirling_Solo_Program2891011121314151617181920222324252627282930313233[[#This Row],[Judge 3
Lucija Ljubičić]]-Q2</f>
        <v>0</v>
      </c>
      <c r="S2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Row],[Category]],Twirling_Solo_Program2891011121314151617181920222324252627282930313233[J3 TOTAL],"&gt;"&amp;Twirling_Solo_Program2891011121314151617181920222324252627282930313233[[#This Row],[J3 TOTAL]])+1</f>
        <v>1</v>
      </c>
      <c r="T2" s="46">
        <v>40.4</v>
      </c>
      <c r="U2" s="47">
        <v>0</v>
      </c>
      <c r="V2" s="48">
        <f>Twirling_Solo_Program2891011121314151617181920222324252627282930313233[[#This Row],[Judge 4
Bernard Barač]]-U2</f>
        <v>40.4</v>
      </c>
      <c r="W2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Row],[Category]],Twirling_Solo_Program2891011121314151617181920222324252627282930313233[J4 TOTAL],"&gt;"&amp;Twirling_Solo_Program2891011121314151617181920222324252627282930313233[[#This Row],[J4 TOTAL]])+1</f>
        <v>1</v>
      </c>
      <c r="X2" s="62">
        <f>SUM(Twirling_Solo_Program2891011121314151617181920222324252627282930313233[[#This Row],[J1 TOTAL]]+Twirling_Solo_Program2891011121314151617181920222324252627282930313233[[#This Row],[J2 TOTAL]]+Twirling_Solo_Program2891011121314151617181920222324252627282930313233[[#This Row],[J3 TOTAL]]+Twirling_Solo_Program2891011121314151617181920222324252627282930313233[[#This Row],[J4 TOTAL]])</f>
        <v>80.400000000000006</v>
      </c>
      <c r="Y2" s="50"/>
      <c r="Z2" s="50"/>
      <c r="AA2" s="50">
        <f>Twirling_Solo_Program2891011121314151617181920222324252627282930313233[[#This Row],[Total]]</f>
        <v>80.400000000000006</v>
      </c>
      <c r="AB2" s="59">
        <f>AVERAGE(H2,L2,P2,T2)</f>
        <v>40.200000000000003</v>
      </c>
      <c r="AC2" s="51">
        <f>Twirling_Solo_Program2891011121314151617181920222324252627282930313233[[#This Row],[Final Total]]</f>
        <v>80.400000000000006</v>
      </c>
      <c r="AD2" s="60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Row],[Category]],Twirling_Solo_Program2891011121314151617181920222324252627282930313233[FINAL SCORE],"&gt;"&amp;Twirling_Solo_Program2891011121314151617181920222324252627282930313233[[#This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77</v>
      </c>
      <c r="B3" s="64">
        <v>1</v>
      </c>
      <c r="C3" s="44" t="s">
        <v>54</v>
      </c>
      <c r="D3" s="57" t="s">
        <v>24</v>
      </c>
      <c r="E3" s="57" t="s">
        <v>116</v>
      </c>
      <c r="F3" s="57" t="s">
        <v>25</v>
      </c>
      <c r="G3" s="57" t="s">
        <v>26</v>
      </c>
      <c r="H3" s="46"/>
      <c r="I3" s="47"/>
      <c r="J3" s="48">
        <f>Twirling_Solo_Program2891011121314151617181920222324252627282930313233[[#This Row],[Judge 1
Tamara Beljak]]-I3</f>
        <v>0</v>
      </c>
      <c r="K3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Row],[Category]],Twirling_Solo_Program2891011121314151617181920222324252627282930313233[J1 TOTAL],"&gt;"&amp;Twirling_Solo_Program2891011121314151617181920222324252627282930313233[[#This Row],[J1 TOTAL]])+1</f>
        <v>1</v>
      </c>
      <c r="L3" s="46">
        <v>27.4</v>
      </c>
      <c r="M3" s="47">
        <v>0.5</v>
      </c>
      <c r="N3" s="48">
        <f>Twirling_Solo_Program2891011121314151617181920222324252627282930313233[[#This Row],[Judge 2
Tihomir Bendelja]]-Twirling_Solo_Program2891011121314151617181920222324252627282930313233[[#This Row],[J2 (-)]]</f>
        <v>26.9</v>
      </c>
      <c r="O3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Row],[Category]],Twirling_Solo_Program2891011121314151617181920222324252627282930313233[J2 TOTAL],"&gt;"&amp;Twirling_Solo_Program2891011121314151617181920222324252627282930313233[[#This Row],[J2 TOTAL]])+1</f>
        <v>2</v>
      </c>
      <c r="P3" s="46"/>
      <c r="Q3" s="47"/>
      <c r="R3" s="48">
        <f>Twirling_Solo_Program2891011121314151617181920222324252627282930313233[[#This Row],[Judge 3
Lucija Ljubičić]]-Q3</f>
        <v>0</v>
      </c>
      <c r="S3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Row],[Category]],Twirling_Solo_Program2891011121314151617181920222324252627282930313233[J3 TOTAL],"&gt;"&amp;Twirling_Solo_Program2891011121314151617181920222324252627282930313233[[#This Row],[J3 TOTAL]])+1</f>
        <v>1</v>
      </c>
      <c r="T3" s="46">
        <v>28.6</v>
      </c>
      <c r="U3" s="47">
        <v>0.5</v>
      </c>
      <c r="V3" s="48">
        <f>Twirling_Solo_Program2891011121314151617181920222324252627282930313233[[#This Row],[Judge 4
Bernard Barač]]-U3</f>
        <v>28.1</v>
      </c>
      <c r="W3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Row],[Category]],Twirling_Solo_Program2891011121314151617181920222324252627282930313233[J4 TOTAL],"&gt;"&amp;Twirling_Solo_Program2891011121314151617181920222324252627282930313233[[#This Row],[J4 TOTAL]])+1</f>
        <v>2</v>
      </c>
      <c r="X3" s="62">
        <f>SUM(Twirling_Solo_Program2891011121314151617181920222324252627282930313233[[#This Row],[J1 TOTAL]]+Twirling_Solo_Program2891011121314151617181920222324252627282930313233[[#This Row],[J2 TOTAL]]+Twirling_Solo_Program2891011121314151617181920222324252627282930313233[[#This Row],[J3 TOTAL]]+Twirling_Solo_Program2891011121314151617181920222324252627282930313233[[#This Row],[J4 TOTAL]])</f>
        <v>55</v>
      </c>
      <c r="Y3" s="50"/>
      <c r="Z3" s="50"/>
      <c r="AA3" s="50">
        <f>Twirling_Solo_Program2891011121314151617181920222324252627282930313233[[#This Row],[Total]]</f>
        <v>55</v>
      </c>
      <c r="AB3" s="59">
        <f>AVERAGE(H3,L3,P3,T3)</f>
        <v>28</v>
      </c>
      <c r="AC3" s="51">
        <f>Twirling_Solo_Program2891011121314151617181920222324252627282930313233[[#This Row],[Final Total]]</f>
        <v>55</v>
      </c>
      <c r="AD3" s="60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Row],[Category]],Twirling_Solo_Program2891011121314151617181920222324252627282930313233[FINAL SCORE],"&gt;"&amp;Twirling_Solo_Program2891011121314151617181920222324252627282930313233[[#This Row],[FINAL SCORE]])+1</f>
        <v>2</v>
      </c>
      <c r="AE3" s="55" t="s">
        <v>48</v>
      </c>
    </row>
    <row r="4" spans="1:50" ht="15.6" x14ac:dyDescent="0.3">
      <c r="A4" s="56">
        <v>73</v>
      </c>
      <c r="B4" s="64">
        <v>1</v>
      </c>
      <c r="C4" s="44" t="s">
        <v>54</v>
      </c>
      <c r="D4" s="57" t="s">
        <v>24</v>
      </c>
      <c r="E4" s="57" t="s">
        <v>112</v>
      </c>
      <c r="F4" s="57" t="s">
        <v>40</v>
      </c>
      <c r="G4" s="57" t="s">
        <v>26</v>
      </c>
      <c r="H4" s="46"/>
      <c r="I4" s="47"/>
      <c r="J4" s="48">
        <f>Twirling_Solo_Program2891011121314151617181920222324252627282930313233[[#This Row],[Judge 1
Tamara Beljak]]-I4</f>
        <v>0</v>
      </c>
      <c r="K4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Row],[Category]],Twirling_Solo_Program2891011121314151617181920222324252627282930313233[J1 TOTAL],"&gt;"&amp;Twirling_Solo_Program2891011121314151617181920222324252627282930313233[[#This Row],[J1 TOTAL]])+1</f>
        <v>1</v>
      </c>
      <c r="L4" s="46">
        <v>20.399999999999999</v>
      </c>
      <c r="M4" s="47">
        <v>1</v>
      </c>
      <c r="N4" s="48">
        <f>Twirling_Solo_Program2891011121314151617181920222324252627282930313233[[#This Row],[Judge 2
Tihomir Bendelja]]-Twirling_Solo_Program2891011121314151617181920222324252627282930313233[[#This Row],[J2 (-)]]</f>
        <v>19.399999999999999</v>
      </c>
      <c r="O4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Row],[Category]],Twirling_Solo_Program2891011121314151617181920222324252627282930313233[J2 TOTAL],"&gt;"&amp;Twirling_Solo_Program2891011121314151617181920222324252627282930313233[[#This Row],[J2 TOTAL]])+1</f>
        <v>3</v>
      </c>
      <c r="P4" s="46"/>
      <c r="Q4" s="47"/>
      <c r="R4" s="48">
        <f>Twirling_Solo_Program2891011121314151617181920222324252627282930313233[[#This Row],[Judge 3
Lucija Ljubičić]]-Q4</f>
        <v>0</v>
      </c>
      <c r="S4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Row],[Category]],Twirling_Solo_Program2891011121314151617181920222324252627282930313233[J3 TOTAL],"&gt;"&amp;Twirling_Solo_Program2891011121314151617181920222324252627282930313233[[#This Row],[J3 TOTAL]])+1</f>
        <v>1</v>
      </c>
      <c r="T4" s="46">
        <v>20.9</v>
      </c>
      <c r="U4" s="47">
        <v>1</v>
      </c>
      <c r="V4" s="48">
        <f>Twirling_Solo_Program2891011121314151617181920222324252627282930313233[[#This Row],[Judge 4
Bernard Barač]]-U4</f>
        <v>19.899999999999999</v>
      </c>
      <c r="W4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Row],[Category]],Twirling_Solo_Program2891011121314151617181920222324252627282930313233[J4 TOTAL],"&gt;"&amp;Twirling_Solo_Program2891011121314151617181920222324252627282930313233[[#This Row],[J4 TOTAL]])+1</f>
        <v>3</v>
      </c>
      <c r="X4" s="62">
        <f>SUM(Twirling_Solo_Program2891011121314151617181920222324252627282930313233[[#This Row],[J1 TOTAL]]+Twirling_Solo_Program2891011121314151617181920222324252627282930313233[[#This Row],[J2 TOTAL]]+Twirling_Solo_Program2891011121314151617181920222324252627282930313233[[#This Row],[J3 TOTAL]]+Twirling_Solo_Program2891011121314151617181920222324252627282930313233[[#This Row],[J4 TOTAL]])</f>
        <v>39.299999999999997</v>
      </c>
      <c r="Y4" s="50"/>
      <c r="Z4" s="50"/>
      <c r="AA4" s="50">
        <f>Twirling_Solo_Program2891011121314151617181920222324252627282930313233[[#This Row],[Total]]</f>
        <v>39.299999999999997</v>
      </c>
      <c r="AB4" s="59">
        <f>AVERAGE(H4,L4,P4,T4)</f>
        <v>20.65</v>
      </c>
      <c r="AC4" s="51">
        <f>Twirling_Solo_Program2891011121314151617181920222324252627282930313233[[#This Row],[Final Total]]</f>
        <v>39.299999999999997</v>
      </c>
      <c r="AD4" s="60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Row],[Category]],Twirling_Solo_Program2891011121314151617181920222324252627282930313233[FINAL SCORE],"&gt;"&amp;Twirling_Solo_Program2891011121314151617181920222324252627282930313233[[#This Row],[FINAL SCORE]])+1</f>
        <v>3</v>
      </c>
      <c r="AE4" s="55" t="s">
        <v>48</v>
      </c>
    </row>
    <row r="5" spans="1:50" ht="15.6" x14ac:dyDescent="0.3">
      <c r="A5" s="56">
        <v>79</v>
      </c>
      <c r="B5" s="64">
        <v>1</v>
      </c>
      <c r="C5" s="44" t="s">
        <v>54</v>
      </c>
      <c r="D5" s="57" t="s">
        <v>24</v>
      </c>
      <c r="E5" s="57" t="s">
        <v>118</v>
      </c>
      <c r="F5" s="57" t="s">
        <v>77</v>
      </c>
      <c r="G5" s="57" t="s">
        <v>26</v>
      </c>
      <c r="H5" s="46"/>
      <c r="I5" s="47"/>
      <c r="J5" s="48">
        <f>Twirling_Solo_Program2891011121314151617181920222324252627282930313233[[#This Row],[Judge 1
Tamara Beljak]]-I5</f>
        <v>0</v>
      </c>
      <c r="K5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Row],[Category]],Twirling_Solo_Program2891011121314151617181920222324252627282930313233[J1 TOTAL],"&gt;"&amp;Twirling_Solo_Program2891011121314151617181920222324252627282930313233[[#This Row],[J1 TOTAL]])+1</f>
        <v>1</v>
      </c>
      <c r="L5" s="46">
        <v>20.100000000000001</v>
      </c>
      <c r="M5" s="47">
        <v>2</v>
      </c>
      <c r="N5" s="48">
        <f>Twirling_Solo_Program2891011121314151617181920222324252627282930313233[[#This Row],[Judge 2
Tihomir Bendelja]]-Twirling_Solo_Program2891011121314151617181920222324252627282930313233[[#This Row],[J2 (-)]]</f>
        <v>18.100000000000001</v>
      </c>
      <c r="O5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Row],[Category]],Twirling_Solo_Program2891011121314151617181920222324252627282930313233[J2 TOTAL],"&gt;"&amp;Twirling_Solo_Program2891011121314151617181920222324252627282930313233[[#This Row],[J2 TOTAL]])+1</f>
        <v>4</v>
      </c>
      <c r="P5" s="46"/>
      <c r="Q5" s="47"/>
      <c r="R5" s="48">
        <f>Twirling_Solo_Program2891011121314151617181920222324252627282930313233[[#This Row],[Judge 3
Lucija Ljubičić]]-Q5</f>
        <v>0</v>
      </c>
      <c r="S5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Row],[Category]],Twirling_Solo_Program2891011121314151617181920222324252627282930313233[J3 TOTAL],"&gt;"&amp;Twirling_Solo_Program2891011121314151617181920222324252627282930313233[[#This Row],[J3 TOTAL]])+1</f>
        <v>1</v>
      </c>
      <c r="T5" s="46">
        <v>20.100000000000001</v>
      </c>
      <c r="U5" s="47">
        <v>2.1</v>
      </c>
      <c r="V5" s="48">
        <f>Twirling_Solo_Program2891011121314151617181920222324252627282930313233[[#This Row],[Judge 4
Bernard Barač]]-U5</f>
        <v>18</v>
      </c>
      <c r="W5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Row],[Category]],Twirling_Solo_Program2891011121314151617181920222324252627282930313233[J4 TOTAL],"&gt;"&amp;Twirling_Solo_Program2891011121314151617181920222324252627282930313233[[#This Row],[J4 TOTAL]])+1</f>
        <v>4</v>
      </c>
      <c r="X5" s="62">
        <f>SUM(Twirling_Solo_Program2891011121314151617181920222324252627282930313233[[#This Row],[J1 TOTAL]]+Twirling_Solo_Program2891011121314151617181920222324252627282930313233[[#This Row],[J2 TOTAL]]+Twirling_Solo_Program2891011121314151617181920222324252627282930313233[[#This Row],[J3 TOTAL]]+Twirling_Solo_Program2891011121314151617181920222324252627282930313233[[#This Row],[J4 TOTAL]])</f>
        <v>36.1</v>
      </c>
      <c r="Y5" s="50"/>
      <c r="Z5" s="50"/>
      <c r="AA5" s="50">
        <f>Twirling_Solo_Program2891011121314151617181920222324252627282930313233[[#This Row],[Total]]</f>
        <v>36.1</v>
      </c>
      <c r="AB5" s="59">
        <f>AVERAGE(H5,L5,P5,T5)</f>
        <v>20.100000000000001</v>
      </c>
      <c r="AC5" s="51">
        <f>Twirling_Solo_Program2891011121314151617181920222324252627282930313233[[#This Row],[Final Total]]</f>
        <v>36.1</v>
      </c>
      <c r="AD5" s="60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Row],[Category]],Twirling_Solo_Program2891011121314151617181920222324252627282930313233[FINAL SCORE],"&gt;"&amp;Twirling_Solo_Program2891011121314151617181920222324252627282930313233[[#This Row],[FINAL SCORE]])+1</f>
        <v>4</v>
      </c>
      <c r="AE5" s="55" t="s">
        <v>48</v>
      </c>
    </row>
    <row r="6" spans="1:50" ht="15.6" x14ac:dyDescent="0.3">
      <c r="A6" s="61">
        <v>71</v>
      </c>
      <c r="B6" s="64">
        <v>1</v>
      </c>
      <c r="C6" s="44" t="s">
        <v>54</v>
      </c>
      <c r="D6" s="44" t="s">
        <v>24</v>
      </c>
      <c r="E6" s="44" t="s">
        <v>110</v>
      </c>
      <c r="F6" s="44" t="s">
        <v>25</v>
      </c>
      <c r="G6" s="44" t="s">
        <v>26</v>
      </c>
      <c r="H6" s="46"/>
      <c r="I6" s="47"/>
      <c r="J6" s="48">
        <f>Twirling_Solo_Program2891011121314151617181920222324252627282930313233[[#This Row],[Judge 1
Tamara Beljak]]-I6</f>
        <v>0</v>
      </c>
      <c r="K6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Row],[Category]],Twirling_Solo_Program2891011121314151617181920222324252627282930313233[J1 TOTAL],"&gt;"&amp;Twirling_Solo_Program2891011121314151617181920222324252627282930313233[[#This Row],[J1 TOTAL]])+1</f>
        <v>1</v>
      </c>
      <c r="L6" s="46">
        <v>19.5</v>
      </c>
      <c r="M6" s="47">
        <v>2.5</v>
      </c>
      <c r="N6" s="48">
        <f>Twirling_Solo_Program2891011121314151617181920222324252627282930313233[[#This Row],[Judge 2
Tihomir Bendelja]]-Twirling_Solo_Program2891011121314151617181920222324252627282930313233[[#This Row],[J2 (-)]]</f>
        <v>17</v>
      </c>
      <c r="O6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Row],[Category]],Twirling_Solo_Program2891011121314151617181920222324252627282930313233[J2 TOTAL],"&gt;"&amp;Twirling_Solo_Program2891011121314151617181920222324252627282930313233[[#This Row],[J2 TOTAL]])+1</f>
        <v>5</v>
      </c>
      <c r="P6" s="46"/>
      <c r="Q6" s="47"/>
      <c r="R6" s="48">
        <f>Twirling_Solo_Program2891011121314151617181920222324252627282930313233[[#This Row],[Judge 3
Lucija Ljubičić]]-Q6</f>
        <v>0</v>
      </c>
      <c r="S6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Row],[Category]],Twirling_Solo_Program2891011121314151617181920222324252627282930313233[J3 TOTAL],"&gt;"&amp;Twirling_Solo_Program2891011121314151617181920222324252627282930313233[[#This Row],[J3 TOTAL]])+1</f>
        <v>1</v>
      </c>
      <c r="T6" s="46">
        <v>20.399999999999999</v>
      </c>
      <c r="U6" s="47">
        <v>2.5</v>
      </c>
      <c r="V6" s="48">
        <f>Twirling_Solo_Program2891011121314151617181920222324252627282930313233[[#This Row],[Judge 4
Bernard Barač]]-U6</f>
        <v>17.899999999999999</v>
      </c>
      <c r="W6" s="49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Row],[Category]],Twirling_Solo_Program2891011121314151617181920222324252627282930313233[J4 TOTAL],"&gt;"&amp;Twirling_Solo_Program2891011121314151617181920222324252627282930313233[[#This Row],[J4 TOTAL]])+1</f>
        <v>5</v>
      </c>
      <c r="X6" s="50">
        <f>SUM(Twirling_Solo_Program2891011121314151617181920222324252627282930313233[[#This Row],[J1 TOTAL]]+Twirling_Solo_Program2891011121314151617181920222324252627282930313233[[#This Row],[J2 TOTAL]]+Twirling_Solo_Program2891011121314151617181920222324252627282930313233[[#This Row],[J3 TOTAL]]+Twirling_Solo_Program2891011121314151617181920222324252627282930313233[[#This Row],[J4 TOTAL]])</f>
        <v>34.9</v>
      </c>
      <c r="Y6" s="50"/>
      <c r="Z6" s="50"/>
      <c r="AA6" s="50">
        <f>Twirling_Solo_Program2891011121314151617181920222324252627282930313233[[#This Row],[Total]]</f>
        <v>34.9</v>
      </c>
      <c r="AB6" s="50">
        <f>AVERAGE(H6,L6,P6,T6)</f>
        <v>19.95</v>
      </c>
      <c r="AC6" s="51">
        <f>Twirling_Solo_Program2891011121314151617181920222324252627282930313233[[#This Row],[Final Total]]</f>
        <v>34.9</v>
      </c>
      <c r="AD6" s="52">
        <f>COUNTIFS(Twirling_Solo_Program2891011121314151617181920222324252627282930313233[Age
Division],Twirling_Solo_Program2891011121314151617181920222324252627282930313233[[#This Row],[Age
Division]],Twirling_Solo_Program2891011121314151617181920222324252627282930313233[Category],Twirling_Solo_Program2891011121314151617181920222324252627282930313233[[#This Row],[Category]],Twirling_Solo_Program2891011121314151617181920222324252627282930313233[FINAL SCORE],"&gt;"&amp;Twirling_Solo_Program2891011121314151617181920222324252627282930313233[[#This Row],[FINAL SCORE]])+1</f>
        <v>5</v>
      </c>
      <c r="AE6" s="55" t="s">
        <v>48</v>
      </c>
    </row>
  </sheetData>
  <sheetProtection algorithmName="SHA-512" hashValue="329TyxOGZsG+bGRnwLjJwr1E23Nw8P6EFrIXtzdbRXl6j8TsGPD6pQBpPUhOlH3qp/h7Qfo3XGElAT+pFw9DKw==" saltValue="zToT2jWpQs0gnqkLVYB4X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X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6" style="43" customWidth="1"/>
    <col min="4" max="4" width="9.109375" style="53" customWidth="1"/>
    <col min="5" max="5" width="24.6640625" style="45" customWidth="1"/>
    <col min="6" max="6" width="45.77734375" style="45" customWidth="1"/>
    <col min="7" max="7" width="10.21875" style="45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26</v>
      </c>
      <c r="B2" s="57">
        <v>1</v>
      </c>
      <c r="C2" s="44" t="s">
        <v>54</v>
      </c>
      <c r="D2" s="57" t="s">
        <v>28</v>
      </c>
      <c r="E2" s="57" t="s">
        <v>58</v>
      </c>
      <c r="F2" s="57" t="s">
        <v>25</v>
      </c>
      <c r="G2" s="58" t="s">
        <v>26</v>
      </c>
      <c r="H2" s="46"/>
      <c r="I2" s="47"/>
      <c r="J2" s="48">
        <f>Twirling_Solo_Program2891011121314151617181920[[#This Row],[Judge 1
Tamara Beljak]]-I2</f>
        <v>0</v>
      </c>
      <c r="K2" s="49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Row],[Category]],Twirling_Solo_Program2891011121314151617181920[J1 TOTAL],"&gt;"&amp;Twirling_Solo_Program2891011121314151617181920[[#This Row],[J1 TOTAL]])+1</f>
        <v>1</v>
      </c>
      <c r="L2" s="46">
        <v>34.9</v>
      </c>
      <c r="M2" s="47">
        <v>1.5</v>
      </c>
      <c r="N2" s="48">
        <f>Twirling_Solo_Program2891011121314151617181920[[#This Row],[Judge 2
Tihomir Bendelja]]-Twirling_Solo_Program2891011121314151617181920[[#This Row],[J2 (-)]]</f>
        <v>33.4</v>
      </c>
      <c r="O2" s="49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Row],[Category]],Twirling_Solo_Program2891011121314151617181920[J2 TOTAL],"&gt;"&amp;Twirling_Solo_Program2891011121314151617181920[[#This Row],[J2 TOTAL]])+1</f>
        <v>1</v>
      </c>
      <c r="P2" s="46"/>
      <c r="Q2" s="47"/>
      <c r="R2" s="48">
        <f>Twirling_Solo_Program2891011121314151617181920[[#This Row],[Judge 3
Lucija Ljubičić]]-Q2</f>
        <v>0</v>
      </c>
      <c r="S2" s="49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Row],[Category]],Twirling_Solo_Program2891011121314151617181920[J3 TOTAL],"&gt;"&amp;Twirling_Solo_Program2891011121314151617181920[[#This Row],[J3 TOTAL]])+1</f>
        <v>1</v>
      </c>
      <c r="T2" s="46">
        <v>35.700000000000003</v>
      </c>
      <c r="U2" s="47">
        <v>1.5</v>
      </c>
      <c r="V2" s="48">
        <f>Twirling_Solo_Program2891011121314151617181920[[#This Row],[Judge 4
Bernard Barač]]-U2</f>
        <v>34.200000000000003</v>
      </c>
      <c r="W2" s="49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Row],[Category]],Twirling_Solo_Program2891011121314151617181920[J4 TOTAL],"&gt;"&amp;Twirling_Solo_Program2891011121314151617181920[[#This Row],[J4 TOTAL]])+1</f>
        <v>1</v>
      </c>
      <c r="X2" s="62">
        <f>SUM(Twirling_Solo_Program2891011121314151617181920[[#This Row],[J1 TOTAL]]+Twirling_Solo_Program2891011121314151617181920[[#This Row],[J2 TOTAL]]+Twirling_Solo_Program2891011121314151617181920[[#This Row],[J3 TOTAL]]+Twirling_Solo_Program2891011121314151617181920[[#This Row],[J4 TOTAL]])</f>
        <v>67.599999999999994</v>
      </c>
      <c r="Y2" s="50"/>
      <c r="Z2" s="50"/>
      <c r="AA2" s="50">
        <f>SUM(Twirling_Solo_Program2891011121314151617181920[[#This Row],[Total]]-Twirling_Solo_Program2891011121314151617181920[[#This Row],[Low]]-Twirling_Solo_Program2891011121314151617181920[[#This Row],[High]])</f>
        <v>67.599999999999994</v>
      </c>
      <c r="AB2" s="59">
        <f>AVERAGE(H2,L2,P2,T2)</f>
        <v>35.299999999999997</v>
      </c>
      <c r="AC2" s="51">
        <f>Twirling_Solo_Program2891011121314151617181920[[#This Row],[Final Total]]</f>
        <v>67.599999999999994</v>
      </c>
      <c r="AD2" s="60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Row],[Category]],Twirling_Solo_Program2891011121314151617181920[FINAL SCORE],"&gt;"&amp;Twirling_Solo_Program2891011121314151617181920[[#This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24</v>
      </c>
      <c r="B3" s="44">
        <v>1</v>
      </c>
      <c r="C3" s="44" t="s">
        <v>54</v>
      </c>
      <c r="D3" s="44" t="s">
        <v>28</v>
      </c>
      <c r="E3" s="44" t="s">
        <v>55</v>
      </c>
      <c r="F3" s="44" t="s">
        <v>56</v>
      </c>
      <c r="G3" s="45" t="s">
        <v>26</v>
      </c>
      <c r="H3" s="46"/>
      <c r="I3" s="47"/>
      <c r="J3" s="48">
        <f>Twirling_Solo_Program2891011121314151617181920[[#This Row],[Judge 1
Tamara Beljak]]-I3</f>
        <v>0</v>
      </c>
      <c r="K3" s="49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Row],[Category]],Twirling_Solo_Program2891011121314151617181920[J1 TOTAL],"&gt;"&amp;Twirling_Solo_Program2891011121314151617181920[[#This Row],[J1 TOTAL]])+1</f>
        <v>1</v>
      </c>
      <c r="L3" s="46">
        <v>32.1</v>
      </c>
      <c r="M3" s="47">
        <v>0.5</v>
      </c>
      <c r="N3" s="48">
        <f>Twirling_Solo_Program2891011121314151617181920[[#This Row],[Judge 2
Tihomir Bendelja]]-Twirling_Solo_Program2891011121314151617181920[[#This Row],[J2 (-)]]</f>
        <v>31.6</v>
      </c>
      <c r="O3" s="49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Row],[Category]],Twirling_Solo_Program2891011121314151617181920[J2 TOTAL],"&gt;"&amp;Twirling_Solo_Program2891011121314151617181920[[#This Row],[J2 TOTAL]])+1</f>
        <v>2</v>
      </c>
      <c r="P3" s="46"/>
      <c r="Q3" s="47"/>
      <c r="R3" s="48">
        <f>Twirling_Solo_Program2891011121314151617181920[[#This Row],[Judge 3
Lucija Ljubičić]]-Q3</f>
        <v>0</v>
      </c>
      <c r="S3" s="49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Row],[Category]],Twirling_Solo_Program2891011121314151617181920[J3 TOTAL],"&gt;"&amp;Twirling_Solo_Program2891011121314151617181920[[#This Row],[J3 TOTAL]])+1</f>
        <v>1</v>
      </c>
      <c r="T3" s="46">
        <v>33.700000000000003</v>
      </c>
      <c r="U3" s="47">
        <v>0.5</v>
      </c>
      <c r="V3" s="48">
        <f>Twirling_Solo_Program2891011121314151617181920[[#This Row],[Judge 4
Bernard Barač]]-U3</f>
        <v>33.200000000000003</v>
      </c>
      <c r="W3" s="49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Row],[Category]],Twirling_Solo_Program2891011121314151617181920[J4 TOTAL],"&gt;"&amp;Twirling_Solo_Program2891011121314151617181920[[#This Row],[J4 TOTAL]])+1</f>
        <v>2</v>
      </c>
      <c r="X3" s="50">
        <f>SUM(Twirling_Solo_Program2891011121314151617181920[[#This Row],[J1 TOTAL]]+Twirling_Solo_Program2891011121314151617181920[[#This Row],[J2 TOTAL]]+Twirling_Solo_Program2891011121314151617181920[[#This Row],[J3 TOTAL]]+Twirling_Solo_Program2891011121314151617181920[[#This Row],[J4 TOTAL]])</f>
        <v>64.800000000000011</v>
      </c>
      <c r="Y3" s="50"/>
      <c r="Z3" s="50"/>
      <c r="AA3" s="50">
        <f>SUM(Twirling_Solo_Program2891011121314151617181920[[#This Row],[Total]]-Twirling_Solo_Program2891011121314151617181920[[#This Row],[Low]]-Twirling_Solo_Program2891011121314151617181920[[#This Row],[High]])</f>
        <v>64.800000000000011</v>
      </c>
      <c r="AB3" s="50">
        <f>AVERAGE(H3,L3,P3,T3)</f>
        <v>32.900000000000006</v>
      </c>
      <c r="AC3" s="51">
        <f>Twirling_Solo_Program2891011121314151617181920[[#This Row],[Final Total]]</f>
        <v>64.800000000000011</v>
      </c>
      <c r="AD3" s="52">
        <f>COUNTIFS(Twirling_Solo_Program2891011121314151617181920[Age
Division],Twirling_Solo_Program2891011121314151617181920[[#This Row],[Age
Division]],Twirling_Solo_Program2891011121314151617181920[Category],Twirling_Solo_Program2891011121314151617181920[[#This Row],[Category]],Twirling_Solo_Program2891011121314151617181920[FINAL SCORE],"&gt;"&amp;Twirling_Solo_Program2891011121314151617181920[[#This Row],[FINAL SCORE]])+1</f>
        <v>2</v>
      </c>
      <c r="AE3" s="55" t="s">
        <v>48</v>
      </c>
    </row>
  </sheetData>
  <sheetProtection algorithmName="SHA-512" hashValue="bjVXgixhKPRv5aluEKtxgcX+kNevwjNgJtXiUIQamvYqkNGfuJ/+dSusezq2TsgZpO5tgSqObA6RvKFqUGINSQ==" saltValue="c6NRbfcPoX8w/aJRmtPsZ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X5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6.5546875" style="43" customWidth="1"/>
    <col min="4" max="4" width="9.21875" style="53" bestFit="1" customWidth="1"/>
    <col min="5" max="5" width="34.109375" style="45" bestFit="1" customWidth="1"/>
    <col min="6" max="6" width="49.5546875" style="45" bestFit="1" customWidth="1"/>
    <col min="7" max="7" width="13.33203125" style="45" bestFit="1" customWidth="1"/>
    <col min="8" max="9" width="9.109375" style="45" customWidth="1"/>
    <col min="10" max="11" width="9.109375" style="54" customWidth="1"/>
    <col min="12" max="15" width="9.109375" style="54" hidden="1" customWidth="1"/>
    <col min="16" max="19" width="9.109375" style="54" customWidth="1"/>
    <col min="20" max="20" width="16.33203125" style="54" hidden="1" customWidth="1"/>
    <col min="21" max="21" width="10.21875" style="54" hidden="1" customWidth="1"/>
    <col min="22" max="22" width="13.33203125" style="54" hidden="1" customWidth="1"/>
    <col min="23" max="23" width="13.44140625" style="45" hidden="1" customWidth="1"/>
    <col min="24" max="24" width="9.6640625" style="41" customWidth="1"/>
    <col min="25" max="26" width="9.6640625" style="45" hidden="1" customWidth="1"/>
    <col min="27" max="28" width="9.6640625" style="45" customWidth="1"/>
    <col min="29" max="29" width="7.4414062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100</v>
      </c>
      <c r="B2" s="64">
        <v>2</v>
      </c>
      <c r="C2" s="44" t="s">
        <v>54</v>
      </c>
      <c r="D2" s="57" t="s">
        <v>33</v>
      </c>
      <c r="E2" s="57" t="s">
        <v>135</v>
      </c>
      <c r="F2" s="57" t="s">
        <v>31</v>
      </c>
      <c r="G2" s="57" t="s">
        <v>32</v>
      </c>
      <c r="H2" s="46">
        <v>26.5</v>
      </c>
      <c r="I2" s="47">
        <v>2</v>
      </c>
      <c r="J2" s="48">
        <f>Twirling_Solo_Program2891011121314151617181920222324252627282930313435364344[[#This Row],[Judge 1
Tamara Beljak]]-I2</f>
        <v>24.5</v>
      </c>
      <c r="K2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Row],[Category]],Twirling_Solo_Program2891011121314151617181920222324252627282930313435364344[J1 TOTAL],"&gt;"&amp;Twirling_Solo_Program2891011121314151617181920222324252627282930313435364344[[#This Row],[J1 TOTAL]])+1</f>
        <v>1</v>
      </c>
      <c r="L2" s="46"/>
      <c r="M2" s="47"/>
      <c r="N2" s="48">
        <f>Twirling_Solo_Program2891011121314151617181920222324252627282930313435364344[[#This Row],[Judge 2
Tihomir Bendelja]]-Twirling_Solo_Program2891011121314151617181920222324252627282930313435364344[[#This Row],[J2 (-)]]</f>
        <v>0</v>
      </c>
      <c r="O2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Row],[Category]],Twirling_Solo_Program2891011121314151617181920222324252627282930313435364344[J2 TOTAL],"&gt;"&amp;Twirling_Solo_Program2891011121314151617181920222324252627282930313435364344[[#This Row],[J2 TOTAL]])+1</f>
        <v>1</v>
      </c>
      <c r="P2" s="46">
        <v>27.5</v>
      </c>
      <c r="Q2" s="47">
        <v>2.2000000000000002</v>
      </c>
      <c r="R2" s="48">
        <f>Twirling_Solo_Program2891011121314151617181920222324252627282930313435364344[[#This Row],[Judge 3
Lucija Ljubičić]]-Q2</f>
        <v>25.3</v>
      </c>
      <c r="S2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Row],[Category]],Twirling_Solo_Program2891011121314151617181920222324252627282930313435364344[J3 TOTAL],"&gt;"&amp;Twirling_Solo_Program2891011121314151617181920222324252627282930313435364344[[#This Row],[J3 TOTAL]])+1</f>
        <v>1</v>
      </c>
      <c r="T2" s="46"/>
      <c r="U2" s="47"/>
      <c r="V2" s="48">
        <f>Twirling_Solo_Program2891011121314151617181920222324252627282930313435364344[[#This Row],[Judge 4
Bernard Barač]]-U2</f>
        <v>0</v>
      </c>
      <c r="W2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Row],[Category]],Twirling_Solo_Program2891011121314151617181920222324252627282930313435364344[J4 TOTAL],"&gt;"&amp;Twirling_Solo_Program2891011121314151617181920222324252627282930313435364344[[#This Row],[J4 TOTAL]])+1</f>
        <v>1</v>
      </c>
      <c r="X2" s="62">
        <f>SUM(Twirling_Solo_Program2891011121314151617181920222324252627282930313435364344[[#This Row],[J1 TOTAL]]+Twirling_Solo_Program2891011121314151617181920222324252627282930313435364344[[#This Row],[J2 TOTAL]]+Twirling_Solo_Program2891011121314151617181920222324252627282930313435364344[[#This Row],[J3 TOTAL]]+Twirling_Solo_Program2891011121314151617181920222324252627282930313435364344[[#This Row],[J4 TOTAL]])</f>
        <v>49.8</v>
      </c>
      <c r="Y2" s="50"/>
      <c r="Z2" s="50"/>
      <c r="AA2" s="50">
        <f>Twirling_Solo_Program2891011121314151617181920222324252627282930313435364344[[#This Row],[Total]]</f>
        <v>49.8</v>
      </c>
      <c r="AB2" s="59">
        <f>AVERAGE(H2,L2,P2,T2)</f>
        <v>27</v>
      </c>
      <c r="AC2" s="51">
        <f>Twirling_Solo_Program2891011121314151617181920222324252627282930313435364344[[#This Row],[Final Total]]</f>
        <v>49.8</v>
      </c>
      <c r="AD2" s="60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Row],[Category]],Twirling_Solo_Program2891011121314151617181920222324252627282930313435364344[FINAL SCORE],"&gt;"&amp;Twirling_Solo_Program2891011121314151617181920222324252627282930313435364344[[#This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94</v>
      </c>
      <c r="B3" s="64">
        <v>2</v>
      </c>
      <c r="C3" s="44" t="s">
        <v>54</v>
      </c>
      <c r="D3" s="44" t="s">
        <v>33</v>
      </c>
      <c r="E3" s="44" t="s">
        <v>129</v>
      </c>
      <c r="F3" s="44" t="s">
        <v>31</v>
      </c>
      <c r="G3" s="44" t="s">
        <v>32</v>
      </c>
      <c r="H3" s="46">
        <v>25</v>
      </c>
      <c r="I3" s="47">
        <v>1</v>
      </c>
      <c r="J3" s="48">
        <f>Twirling_Solo_Program2891011121314151617181920222324252627282930313435364344[[#This Row],[Judge 1
Tamara Beljak]]-I3</f>
        <v>24</v>
      </c>
      <c r="K3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Row],[Category]],Twirling_Solo_Program2891011121314151617181920222324252627282930313435364344[J1 TOTAL],"&gt;"&amp;Twirling_Solo_Program2891011121314151617181920222324252627282930313435364344[[#This Row],[J1 TOTAL]])+1</f>
        <v>2</v>
      </c>
      <c r="L3" s="46"/>
      <c r="M3" s="47"/>
      <c r="N3" s="48">
        <f>Twirling_Solo_Program2891011121314151617181920222324252627282930313435364344[[#This Row],[Judge 2
Tihomir Bendelja]]-Twirling_Solo_Program2891011121314151617181920222324252627282930313435364344[[#This Row],[J2 (-)]]</f>
        <v>0</v>
      </c>
      <c r="O3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Row],[Category]],Twirling_Solo_Program2891011121314151617181920222324252627282930313435364344[J2 TOTAL],"&gt;"&amp;Twirling_Solo_Program2891011121314151617181920222324252627282930313435364344[[#This Row],[J2 TOTAL]])+1</f>
        <v>1</v>
      </c>
      <c r="P3" s="46">
        <v>24.5</v>
      </c>
      <c r="Q3" s="47">
        <v>1</v>
      </c>
      <c r="R3" s="48">
        <f>Twirling_Solo_Program2891011121314151617181920222324252627282930313435364344[[#This Row],[Judge 3
Lucija Ljubičić]]-Q3</f>
        <v>23.5</v>
      </c>
      <c r="S3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Row],[Category]],Twirling_Solo_Program2891011121314151617181920222324252627282930313435364344[J3 TOTAL],"&gt;"&amp;Twirling_Solo_Program2891011121314151617181920222324252627282930313435364344[[#This Row],[J3 TOTAL]])+1</f>
        <v>2</v>
      </c>
      <c r="T3" s="46"/>
      <c r="U3" s="47"/>
      <c r="V3" s="48">
        <f>Twirling_Solo_Program2891011121314151617181920222324252627282930313435364344[[#This Row],[Judge 4
Bernard Barač]]-U3</f>
        <v>0</v>
      </c>
      <c r="W3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Row],[Category]],Twirling_Solo_Program2891011121314151617181920222324252627282930313435364344[J4 TOTAL],"&gt;"&amp;Twirling_Solo_Program2891011121314151617181920222324252627282930313435364344[[#This Row],[J4 TOTAL]])+1</f>
        <v>1</v>
      </c>
      <c r="X3" s="50">
        <f>SUM(Twirling_Solo_Program2891011121314151617181920222324252627282930313435364344[[#This Row],[J1 TOTAL]]+Twirling_Solo_Program2891011121314151617181920222324252627282930313435364344[[#This Row],[J2 TOTAL]]+Twirling_Solo_Program2891011121314151617181920222324252627282930313435364344[[#This Row],[J3 TOTAL]]+Twirling_Solo_Program2891011121314151617181920222324252627282930313435364344[[#This Row],[J4 TOTAL]])</f>
        <v>47.5</v>
      </c>
      <c r="Y3" s="50"/>
      <c r="Z3" s="50"/>
      <c r="AA3" s="50">
        <f>Twirling_Solo_Program2891011121314151617181920222324252627282930313435364344[[#This Row],[Total]]</f>
        <v>47.5</v>
      </c>
      <c r="AB3" s="50">
        <f>AVERAGE(H3,L3,P3,T3)</f>
        <v>24.75</v>
      </c>
      <c r="AC3" s="51">
        <f>Twirling_Solo_Program2891011121314151617181920222324252627282930313435364344[[#This Row],[Final Total]]</f>
        <v>47.5</v>
      </c>
      <c r="AD3" s="52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Row],[Category]],Twirling_Solo_Program2891011121314151617181920222324252627282930313435364344[FINAL SCORE],"&gt;"&amp;Twirling_Solo_Program2891011121314151617181920222324252627282930313435364344[[#This Row],[FINAL SCORE]])+1</f>
        <v>2</v>
      </c>
      <c r="AE3" s="55" t="s">
        <v>48</v>
      </c>
    </row>
    <row r="4" spans="1:50" ht="15.6" x14ac:dyDescent="0.3">
      <c r="A4" s="56">
        <v>96</v>
      </c>
      <c r="B4" s="64">
        <v>2</v>
      </c>
      <c r="C4" s="44" t="s">
        <v>54</v>
      </c>
      <c r="D4" s="57" t="s">
        <v>33</v>
      </c>
      <c r="E4" s="57" t="s">
        <v>131</v>
      </c>
      <c r="F4" s="57" t="s">
        <v>41</v>
      </c>
      <c r="G4" s="57" t="s">
        <v>26</v>
      </c>
      <c r="H4" s="46">
        <v>17.2</v>
      </c>
      <c r="I4" s="47">
        <v>1.1000000000000001</v>
      </c>
      <c r="J4" s="48">
        <f>Twirling_Solo_Program2891011121314151617181920222324252627282930313435364344[[#This Row],[Judge 1
Tamara Beljak]]-I4</f>
        <v>16.099999999999998</v>
      </c>
      <c r="K4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Row],[Category]],Twirling_Solo_Program2891011121314151617181920222324252627282930313435364344[J1 TOTAL],"&gt;"&amp;Twirling_Solo_Program2891011121314151617181920222324252627282930313435364344[[#This Row],[J1 TOTAL]])+1</f>
        <v>3</v>
      </c>
      <c r="L4" s="46"/>
      <c r="M4" s="47"/>
      <c r="N4" s="48">
        <f>Twirling_Solo_Program2891011121314151617181920222324252627282930313435364344[[#This Row],[Judge 2
Tihomir Bendelja]]-Twirling_Solo_Program2891011121314151617181920222324252627282930313435364344[[#This Row],[J2 (-)]]</f>
        <v>0</v>
      </c>
      <c r="O4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Row],[Category]],Twirling_Solo_Program2891011121314151617181920222324252627282930313435364344[J2 TOTAL],"&gt;"&amp;Twirling_Solo_Program2891011121314151617181920222324252627282930313435364344[[#This Row],[J2 TOTAL]])+1</f>
        <v>1</v>
      </c>
      <c r="P4" s="46">
        <v>18.5</v>
      </c>
      <c r="Q4" s="47">
        <v>1.4</v>
      </c>
      <c r="R4" s="48">
        <f>Twirling_Solo_Program2891011121314151617181920222324252627282930313435364344[[#This Row],[Judge 3
Lucija Ljubičić]]-Q4</f>
        <v>17.100000000000001</v>
      </c>
      <c r="S4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Row],[Category]],Twirling_Solo_Program2891011121314151617181920222324252627282930313435364344[J3 TOTAL],"&gt;"&amp;Twirling_Solo_Program2891011121314151617181920222324252627282930313435364344[[#This Row],[J3 TOTAL]])+1</f>
        <v>3</v>
      </c>
      <c r="T4" s="46"/>
      <c r="U4" s="47"/>
      <c r="V4" s="48">
        <f>Twirling_Solo_Program2891011121314151617181920222324252627282930313435364344[[#This Row],[Judge 4
Bernard Barač]]-U4</f>
        <v>0</v>
      </c>
      <c r="W4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Row],[Category]],Twirling_Solo_Program2891011121314151617181920222324252627282930313435364344[J4 TOTAL],"&gt;"&amp;Twirling_Solo_Program2891011121314151617181920222324252627282930313435364344[[#This Row],[J4 TOTAL]])+1</f>
        <v>1</v>
      </c>
      <c r="X4" s="62">
        <f>SUM(Twirling_Solo_Program2891011121314151617181920222324252627282930313435364344[[#This Row],[J1 TOTAL]]+Twirling_Solo_Program2891011121314151617181920222324252627282930313435364344[[#This Row],[J2 TOTAL]]+Twirling_Solo_Program2891011121314151617181920222324252627282930313435364344[[#This Row],[J3 TOTAL]]+Twirling_Solo_Program2891011121314151617181920222324252627282930313435364344[[#This Row],[J4 TOTAL]])</f>
        <v>33.200000000000003</v>
      </c>
      <c r="Y4" s="50"/>
      <c r="Z4" s="50"/>
      <c r="AA4" s="50">
        <f>Twirling_Solo_Program2891011121314151617181920222324252627282930313435364344[[#This Row],[Total]]</f>
        <v>33.200000000000003</v>
      </c>
      <c r="AB4" s="59">
        <f>AVERAGE(H4,L4,P4,T4)</f>
        <v>17.850000000000001</v>
      </c>
      <c r="AC4" s="51">
        <f>Twirling_Solo_Program2891011121314151617181920222324252627282930313435364344[[#This Row],[Final Total]]</f>
        <v>33.200000000000003</v>
      </c>
      <c r="AD4" s="60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Row],[Category]],Twirling_Solo_Program2891011121314151617181920222324252627282930313435364344[FINAL SCORE],"&gt;"&amp;Twirling_Solo_Program2891011121314151617181920222324252627282930313435364344[[#This Row],[FINAL SCORE]])+1</f>
        <v>3</v>
      </c>
      <c r="AE4" s="55" t="s">
        <v>48</v>
      </c>
    </row>
    <row r="5" spans="1:50" ht="15.6" x14ac:dyDescent="0.3">
      <c r="A5" s="56">
        <v>98</v>
      </c>
      <c r="B5" s="64">
        <v>2</v>
      </c>
      <c r="C5" s="44" t="s">
        <v>54</v>
      </c>
      <c r="D5" s="57" t="s">
        <v>33</v>
      </c>
      <c r="E5" s="57" t="s">
        <v>133</v>
      </c>
      <c r="F5" s="57" t="s">
        <v>77</v>
      </c>
      <c r="G5" s="57" t="s">
        <v>26</v>
      </c>
      <c r="H5" s="46">
        <v>12</v>
      </c>
      <c r="I5" s="47">
        <v>3</v>
      </c>
      <c r="J5" s="48">
        <f>Twirling_Solo_Program2891011121314151617181920222324252627282930313435364344[[#This Row],[Judge 1
Tamara Beljak]]-I5</f>
        <v>9</v>
      </c>
      <c r="K5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Row],[Category]],Twirling_Solo_Program2891011121314151617181920222324252627282930313435364344[J1 TOTAL],"&gt;"&amp;Twirling_Solo_Program2891011121314151617181920222324252627282930313435364344[[#This Row],[J1 TOTAL]])+1</f>
        <v>4</v>
      </c>
      <c r="L5" s="46"/>
      <c r="M5" s="47"/>
      <c r="N5" s="48">
        <f>Twirling_Solo_Program2891011121314151617181920222324252627282930313435364344[[#This Row],[Judge 2
Tihomir Bendelja]]-Twirling_Solo_Program2891011121314151617181920222324252627282930313435364344[[#This Row],[J2 (-)]]</f>
        <v>0</v>
      </c>
      <c r="O5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Row],[Category]],Twirling_Solo_Program2891011121314151617181920222324252627282930313435364344[J2 TOTAL],"&gt;"&amp;Twirling_Solo_Program2891011121314151617181920222324252627282930313435364344[[#This Row],[J2 TOTAL]])+1</f>
        <v>1</v>
      </c>
      <c r="P5" s="46">
        <v>16</v>
      </c>
      <c r="Q5" s="47">
        <v>3.3</v>
      </c>
      <c r="R5" s="48">
        <f>Twirling_Solo_Program2891011121314151617181920222324252627282930313435364344[[#This Row],[Judge 3
Lucija Ljubičić]]-Q5</f>
        <v>12.7</v>
      </c>
      <c r="S5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Row],[Category]],Twirling_Solo_Program2891011121314151617181920222324252627282930313435364344[J3 TOTAL],"&gt;"&amp;Twirling_Solo_Program2891011121314151617181920222324252627282930313435364344[[#This Row],[J3 TOTAL]])+1</f>
        <v>4</v>
      </c>
      <c r="T5" s="46"/>
      <c r="U5" s="47"/>
      <c r="V5" s="48">
        <f>Twirling_Solo_Program2891011121314151617181920222324252627282930313435364344[[#This Row],[Judge 4
Bernard Barač]]-U5</f>
        <v>0</v>
      </c>
      <c r="W5" s="49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Row],[Category]],Twirling_Solo_Program2891011121314151617181920222324252627282930313435364344[J4 TOTAL],"&gt;"&amp;Twirling_Solo_Program2891011121314151617181920222324252627282930313435364344[[#This Row],[J4 TOTAL]])+1</f>
        <v>1</v>
      </c>
      <c r="X5" s="62">
        <f>SUM(Twirling_Solo_Program2891011121314151617181920222324252627282930313435364344[[#This Row],[J1 TOTAL]]+Twirling_Solo_Program2891011121314151617181920222324252627282930313435364344[[#This Row],[J2 TOTAL]]+Twirling_Solo_Program2891011121314151617181920222324252627282930313435364344[[#This Row],[J3 TOTAL]]+Twirling_Solo_Program2891011121314151617181920222324252627282930313435364344[[#This Row],[J4 TOTAL]])</f>
        <v>21.7</v>
      </c>
      <c r="Y5" s="50"/>
      <c r="Z5" s="50"/>
      <c r="AA5" s="50">
        <f>Twirling_Solo_Program2891011121314151617181920222324252627282930313435364344[[#This Row],[Total]]</f>
        <v>21.7</v>
      </c>
      <c r="AB5" s="59">
        <f>AVERAGE(H5,L5,P5,T5)</f>
        <v>14</v>
      </c>
      <c r="AC5" s="51">
        <f>Twirling_Solo_Program2891011121314151617181920222324252627282930313435364344[[#This Row],[Final Total]]</f>
        <v>21.7</v>
      </c>
      <c r="AD5" s="60">
        <f>COUNTIFS(Twirling_Solo_Program2891011121314151617181920222324252627282930313435364344[Age
Division],Twirling_Solo_Program2891011121314151617181920222324252627282930313435364344[[#This Row],[Age
Division]],Twirling_Solo_Program2891011121314151617181920222324252627282930313435364344[Category],Twirling_Solo_Program2891011121314151617181920222324252627282930313435364344[[#This Row],[Category]],Twirling_Solo_Program2891011121314151617181920222324252627282930313435364344[FINAL SCORE],"&gt;"&amp;Twirling_Solo_Program2891011121314151617181920222324252627282930313435364344[[#This Row],[FINAL SCORE]])+1</f>
        <v>4</v>
      </c>
      <c r="AE5" s="55" t="s">
        <v>48</v>
      </c>
    </row>
  </sheetData>
  <sheetProtection algorithmName="SHA-512" hashValue="/KR92Y08exruZ6CjYaSRv8y5Ie3e7gIaxhr5iTpa1sVedFIC1h8myUdkdW5Gb7aX2Q2Q5kBmZLdceYW6GpDvFA==" saltValue="u9EIuf40LjUcKd0BmfziL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5.109375" style="43" customWidth="1"/>
    <col min="4" max="4" width="10.88671875" style="53" customWidth="1"/>
    <col min="5" max="5" width="26" style="45" bestFit="1" customWidth="1"/>
    <col min="6" max="6" width="29.44140625" style="45" customWidth="1"/>
    <col min="7" max="7" width="8" style="45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60</v>
      </c>
      <c r="B2" s="64">
        <v>1</v>
      </c>
      <c r="C2" s="44" t="s">
        <v>96</v>
      </c>
      <c r="D2" s="44" t="s">
        <v>36</v>
      </c>
      <c r="E2" s="44" t="s">
        <v>98</v>
      </c>
      <c r="F2" s="44" t="s">
        <v>38</v>
      </c>
      <c r="G2" s="44" t="s">
        <v>30</v>
      </c>
      <c r="H2" s="46"/>
      <c r="I2" s="47"/>
      <c r="J2" s="48">
        <f>Twirling_Solo_Program2891011121314151617181920222324252627282930[[#This Row],[Judge 1
Tamara Beljak]]-I2</f>
        <v>0</v>
      </c>
      <c r="K2" s="49">
        <f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Row],[Category]],Twirling_Solo_Program2891011121314151617181920222324252627282930[J1 TOTAL],"&gt;"&amp;Twirling_Solo_Program2891011121314151617181920222324252627282930[[#This Row],[J1 TOTAL]])+1</f>
        <v>1</v>
      </c>
      <c r="L2" s="46">
        <v>9.3000000000000007</v>
      </c>
      <c r="M2" s="47">
        <v>0</v>
      </c>
      <c r="N2" s="48">
        <f>Twirling_Solo_Program2891011121314151617181920222324252627282930[[#This Row],[Judge 2
Tihomir Bendelja]]-Twirling_Solo_Program2891011121314151617181920222324252627282930[[#This Row],[J2 (-)]]</f>
        <v>9.3000000000000007</v>
      </c>
      <c r="O2" s="49">
        <f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Row],[Category]],Twirling_Solo_Program2891011121314151617181920222324252627282930[J2 TOTAL],"&gt;"&amp;Twirling_Solo_Program2891011121314151617181920222324252627282930[[#This Row],[J2 TOTAL]])+1</f>
        <v>1</v>
      </c>
      <c r="P2" s="46"/>
      <c r="Q2" s="47"/>
      <c r="R2" s="48">
        <f>Twirling_Solo_Program2891011121314151617181920222324252627282930[[#This Row],[Judge 3
Lucija Ljubičić]]-Q2</f>
        <v>0</v>
      </c>
      <c r="S2" s="49">
        <f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Row],[Category]],Twirling_Solo_Program2891011121314151617181920222324252627282930[J3 TOTAL],"&gt;"&amp;Twirling_Solo_Program2891011121314151617181920222324252627282930[[#This Row],[J3 TOTAL]])+1</f>
        <v>1</v>
      </c>
      <c r="T2" s="46">
        <v>9.9</v>
      </c>
      <c r="U2" s="47">
        <v>0.1</v>
      </c>
      <c r="V2" s="48">
        <f>Twirling_Solo_Program2891011121314151617181920222324252627282930[[#This Row],[Judge 4
Bernard Barač]]-U2</f>
        <v>9.8000000000000007</v>
      </c>
      <c r="W2" s="49">
        <f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Row],[Category]],Twirling_Solo_Program2891011121314151617181920222324252627282930[J4 TOTAL],"&gt;"&amp;Twirling_Solo_Program2891011121314151617181920222324252627282930[[#This Row],[J4 TOTAL]])+1</f>
        <v>1</v>
      </c>
      <c r="X2" s="50">
        <f>SUM(Twirling_Solo_Program2891011121314151617181920222324252627282930[[#This Row],[J1 TOTAL]]+Twirling_Solo_Program2891011121314151617181920222324252627282930[[#This Row],[J2 TOTAL]]+Twirling_Solo_Program2891011121314151617181920222324252627282930[[#This Row],[J3 TOTAL]]+Twirling_Solo_Program2891011121314151617181920222324252627282930[[#This Row],[J4 TOTAL]])</f>
        <v>19.100000000000001</v>
      </c>
      <c r="Y2" s="50"/>
      <c r="Z2" s="50"/>
      <c r="AA2" s="50">
        <f>Twirling_Solo_Program2891011121314151617181920222324252627282930[[#This Row],[Total]]</f>
        <v>19.100000000000001</v>
      </c>
      <c r="AB2" s="50">
        <f>AVERAGE(H2,L2,P2,T2)</f>
        <v>9.6000000000000014</v>
      </c>
      <c r="AC2" s="51">
        <f>Twirling_Solo_Program2891011121314151617181920222324252627282930[[#This Row],[Final Total]]</f>
        <v>19.100000000000001</v>
      </c>
      <c r="AD2" s="52">
        <f>COUNTIFS(Twirling_Solo_Program2891011121314151617181920222324252627282930[Age
Division],Twirling_Solo_Program2891011121314151617181920222324252627282930[[#This Row],[Age
Division]],Twirling_Solo_Program2891011121314151617181920222324252627282930[Category],Twirling_Solo_Program2891011121314151617181920222324252627282930[[#This Row],[Category]],Twirling_Solo_Program2891011121314151617181920222324252627282930[FINAL SCORE],"&gt;"&amp;Twirling_Solo_Program2891011121314151617181920222324252627282930[[#This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Awy7i2Lz23d8dJAPfqmBS7x2QyRv6jJmpA+Xbs0dkY2/o1PbCChQMs6vWo+7RNwi82U/VXrvA48aprCMA5WcdQ==" saltValue="ew0wfykprBwYHjJ5P1qzj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X7"/>
  <sheetViews>
    <sheetView zoomScale="80" zoomScaleNormal="80" workbookViewId="0">
      <pane ySplit="1" topLeftCell="A2" activePane="bottomLeft" state="frozen"/>
      <selection pane="bottomLeft" activeCell="I17" sqref="I17"/>
    </sheetView>
  </sheetViews>
  <sheetFormatPr defaultColWidth="9.21875" defaultRowHeight="14.4" x14ac:dyDescent="0.3"/>
  <cols>
    <col min="1" max="2" width="5.77734375" style="43" customWidth="1"/>
    <col min="3" max="3" width="16.109375" style="43" customWidth="1"/>
    <col min="4" max="4" width="8.6640625" style="53" customWidth="1"/>
    <col min="5" max="5" width="27.44140625" style="45" customWidth="1"/>
    <col min="6" max="6" width="41.33203125" style="45" bestFit="1" customWidth="1"/>
    <col min="7" max="7" width="9.109375" style="45" customWidth="1"/>
    <col min="8" max="9" width="9.21875" style="45" customWidth="1"/>
    <col min="10" max="11" width="9.21875" style="54" customWidth="1"/>
    <col min="12" max="15" width="9.21875" style="54" hidden="1" customWidth="1"/>
    <col min="16" max="19" width="9.21875" style="54" customWidth="1"/>
    <col min="20" max="22" width="9.21875" style="54" hidden="1" customWidth="1"/>
    <col min="23" max="23" width="9.21875" style="45" hidden="1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66</v>
      </c>
      <c r="B2" s="64">
        <v>2</v>
      </c>
      <c r="C2" s="44" t="s">
        <v>96</v>
      </c>
      <c r="D2" s="57" t="s">
        <v>24</v>
      </c>
      <c r="E2" s="57" t="s">
        <v>105</v>
      </c>
      <c r="F2" s="57" t="s">
        <v>65</v>
      </c>
      <c r="G2" s="57" t="s">
        <v>30</v>
      </c>
      <c r="H2" s="46">
        <v>39</v>
      </c>
      <c r="I2" s="47">
        <v>1</v>
      </c>
      <c r="J2" s="48">
        <f>Twirling_Solo_Program28910111213141516171819202223242526272829303132[[#This Row],[Judge 1
Tamara Beljak]]-I2</f>
        <v>38</v>
      </c>
      <c r="K2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Row],[Category]],Twirling_Solo_Program28910111213141516171819202223242526272829303132[J1 TOTAL],"&gt;"&amp;Twirling_Solo_Program28910111213141516171819202223242526272829303132[[#This Row],[J1 TOTAL]])+1</f>
        <v>1</v>
      </c>
      <c r="L2" s="46"/>
      <c r="M2" s="47"/>
      <c r="N2" s="48">
        <f>Twirling_Solo_Program28910111213141516171819202223242526272829303132[[#This Row],[Judge 2
Tihomir Bendelja]]-Twirling_Solo_Program28910111213141516171819202223242526272829303132[[#This Row],[J2 (-)]]</f>
        <v>0</v>
      </c>
      <c r="O2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Row],[Category]],Twirling_Solo_Program28910111213141516171819202223242526272829303132[J2 TOTAL],"&gt;"&amp;Twirling_Solo_Program28910111213141516171819202223242526272829303132[[#This Row],[J2 TOTAL]])+1</f>
        <v>1</v>
      </c>
      <c r="P2" s="46">
        <v>38</v>
      </c>
      <c r="Q2" s="47">
        <v>1</v>
      </c>
      <c r="R2" s="48">
        <f>Twirling_Solo_Program28910111213141516171819202223242526272829303132[[#This Row],[Judge 3
Lucija Ljubičić]]-Q2</f>
        <v>37</v>
      </c>
      <c r="S2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Row],[Category]],Twirling_Solo_Program28910111213141516171819202223242526272829303132[J3 TOTAL],"&gt;"&amp;Twirling_Solo_Program28910111213141516171819202223242526272829303132[[#This Row],[J3 TOTAL]])+1</f>
        <v>1</v>
      </c>
      <c r="T2" s="46"/>
      <c r="U2" s="47"/>
      <c r="V2" s="48">
        <f>Twirling_Solo_Program28910111213141516171819202223242526272829303132[[#This Row],[Judge 4
Bernard Barač]]-U2</f>
        <v>0</v>
      </c>
      <c r="W2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Row],[Category]],Twirling_Solo_Program28910111213141516171819202223242526272829303132[J4 TOTAL],"&gt;"&amp;Twirling_Solo_Program28910111213141516171819202223242526272829303132[[#This Row],[J4 TOTAL]])+1</f>
        <v>1</v>
      </c>
      <c r="X2" s="62">
        <f>SUM(Twirling_Solo_Program28910111213141516171819202223242526272829303132[[#This Row],[J1 TOTAL]]+Twirling_Solo_Program28910111213141516171819202223242526272829303132[[#This Row],[J2 TOTAL]]+Twirling_Solo_Program28910111213141516171819202223242526272829303132[[#This Row],[J3 TOTAL]]+Twirling_Solo_Program28910111213141516171819202223242526272829303132[[#This Row],[J4 TOTAL]])</f>
        <v>75</v>
      </c>
      <c r="Y2" s="50"/>
      <c r="Z2" s="50"/>
      <c r="AA2" s="50">
        <f>Twirling_Solo_Program28910111213141516171819202223242526272829303132[[#This Row],[Total]]</f>
        <v>75</v>
      </c>
      <c r="AB2" s="59">
        <f t="shared" ref="AB2:AB7" si="0">AVERAGE(H2,L2,P2,T2)</f>
        <v>38.5</v>
      </c>
      <c r="AC2" s="51">
        <f>Twirling_Solo_Program28910111213141516171819202223242526272829303132[[#This Row],[Final Total]]</f>
        <v>75</v>
      </c>
      <c r="AD2" s="60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Row],[Category]],Twirling_Solo_Program28910111213141516171819202223242526272829303132[FINAL SCORE],"&gt;"&amp;Twirling_Solo_Program28910111213141516171819202223242526272829303132[[#This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70</v>
      </c>
      <c r="B3" s="64">
        <v>2</v>
      </c>
      <c r="C3" s="44" t="s">
        <v>96</v>
      </c>
      <c r="D3" s="57" t="s">
        <v>24</v>
      </c>
      <c r="E3" s="57" t="s">
        <v>109</v>
      </c>
      <c r="F3" s="57" t="s">
        <v>65</v>
      </c>
      <c r="G3" s="57" t="s">
        <v>30</v>
      </c>
      <c r="H3" s="46">
        <v>35.5</v>
      </c>
      <c r="I3" s="47">
        <v>2.8</v>
      </c>
      <c r="J3" s="48">
        <f>Twirling_Solo_Program28910111213141516171819202223242526272829303132[[#This Row],[Judge 1
Tamara Beljak]]-I3</f>
        <v>32.700000000000003</v>
      </c>
      <c r="K3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Row],[Category]],Twirling_Solo_Program28910111213141516171819202223242526272829303132[J1 TOTAL],"&gt;"&amp;Twirling_Solo_Program28910111213141516171819202223242526272829303132[[#This Row],[J1 TOTAL]])+1</f>
        <v>2</v>
      </c>
      <c r="L3" s="46"/>
      <c r="M3" s="47"/>
      <c r="N3" s="48">
        <f>Twirling_Solo_Program28910111213141516171819202223242526272829303132[[#This Row],[Judge 2
Tihomir Bendelja]]-Twirling_Solo_Program28910111213141516171819202223242526272829303132[[#This Row],[J2 (-)]]</f>
        <v>0</v>
      </c>
      <c r="O3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Row],[Category]],Twirling_Solo_Program28910111213141516171819202223242526272829303132[J2 TOTAL],"&gt;"&amp;Twirling_Solo_Program28910111213141516171819202223242526272829303132[[#This Row],[J2 TOTAL]])+1</f>
        <v>1</v>
      </c>
      <c r="P3" s="46">
        <v>35.5</v>
      </c>
      <c r="Q3" s="47">
        <v>2.9</v>
      </c>
      <c r="R3" s="48">
        <f>Twirling_Solo_Program28910111213141516171819202223242526272829303132[[#This Row],[Judge 3
Lucija Ljubičić]]-Q3</f>
        <v>32.6</v>
      </c>
      <c r="S3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Row],[Category]],Twirling_Solo_Program28910111213141516171819202223242526272829303132[J3 TOTAL],"&gt;"&amp;Twirling_Solo_Program28910111213141516171819202223242526272829303132[[#This Row],[J3 TOTAL]])+1</f>
        <v>2</v>
      </c>
      <c r="T3" s="46"/>
      <c r="U3" s="47"/>
      <c r="V3" s="48">
        <f>Twirling_Solo_Program28910111213141516171819202223242526272829303132[[#This Row],[Judge 4
Bernard Barač]]-U3</f>
        <v>0</v>
      </c>
      <c r="W3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Row],[Category]],Twirling_Solo_Program28910111213141516171819202223242526272829303132[J4 TOTAL],"&gt;"&amp;Twirling_Solo_Program28910111213141516171819202223242526272829303132[[#This Row],[J4 TOTAL]])+1</f>
        <v>1</v>
      </c>
      <c r="X3" s="62">
        <f>SUM(Twirling_Solo_Program28910111213141516171819202223242526272829303132[[#This Row],[J1 TOTAL]]+Twirling_Solo_Program28910111213141516171819202223242526272829303132[[#This Row],[J2 TOTAL]]+Twirling_Solo_Program28910111213141516171819202223242526272829303132[[#This Row],[J3 TOTAL]]+Twirling_Solo_Program28910111213141516171819202223242526272829303132[[#This Row],[J4 TOTAL]])</f>
        <v>65.300000000000011</v>
      </c>
      <c r="Y3" s="50"/>
      <c r="Z3" s="50"/>
      <c r="AA3" s="50">
        <f>Twirling_Solo_Program28910111213141516171819202223242526272829303132[[#This Row],[Total]]</f>
        <v>65.300000000000011</v>
      </c>
      <c r="AB3" s="59">
        <f t="shared" si="0"/>
        <v>35.5</v>
      </c>
      <c r="AC3" s="51">
        <f>Twirling_Solo_Program28910111213141516171819202223242526272829303132[[#This Row],[Final Total]]</f>
        <v>65.300000000000011</v>
      </c>
      <c r="AD3" s="60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Row],[Category]],Twirling_Solo_Program28910111213141516171819202223242526272829303132[FINAL SCORE],"&gt;"&amp;Twirling_Solo_Program28910111213141516171819202223242526272829303132[[#This Row],[FINAL SCORE]])+1</f>
        <v>2</v>
      </c>
      <c r="AE3" s="55" t="s">
        <v>48</v>
      </c>
    </row>
    <row r="4" spans="1:50" ht="15.6" x14ac:dyDescent="0.3">
      <c r="A4" s="56">
        <v>72</v>
      </c>
      <c r="B4" s="64">
        <v>2</v>
      </c>
      <c r="C4" s="44" t="s">
        <v>96</v>
      </c>
      <c r="D4" s="57" t="s">
        <v>24</v>
      </c>
      <c r="E4" s="57" t="s">
        <v>111</v>
      </c>
      <c r="F4" s="57" t="s">
        <v>37</v>
      </c>
      <c r="G4" s="57" t="s">
        <v>30</v>
      </c>
      <c r="H4" s="46">
        <v>25</v>
      </c>
      <c r="I4" s="47">
        <v>1.7</v>
      </c>
      <c r="J4" s="48">
        <f>Twirling_Solo_Program28910111213141516171819202223242526272829303132[[#This Row],[Judge 1
Tamara Beljak]]-I4</f>
        <v>23.3</v>
      </c>
      <c r="K4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Row],[Category]],Twirling_Solo_Program28910111213141516171819202223242526272829303132[J1 TOTAL],"&gt;"&amp;Twirling_Solo_Program28910111213141516171819202223242526272829303132[[#This Row],[J1 TOTAL]])+1</f>
        <v>3</v>
      </c>
      <c r="L4" s="46"/>
      <c r="M4" s="47"/>
      <c r="N4" s="48">
        <f>Twirling_Solo_Program28910111213141516171819202223242526272829303132[[#This Row],[Judge 2
Tihomir Bendelja]]-Twirling_Solo_Program28910111213141516171819202223242526272829303132[[#This Row],[J2 (-)]]</f>
        <v>0</v>
      </c>
      <c r="O4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Row],[Category]],Twirling_Solo_Program28910111213141516171819202223242526272829303132[J2 TOTAL],"&gt;"&amp;Twirling_Solo_Program28910111213141516171819202223242526272829303132[[#This Row],[J2 TOTAL]])+1</f>
        <v>1</v>
      </c>
      <c r="P4" s="46">
        <v>22.5</v>
      </c>
      <c r="Q4" s="47">
        <v>1.7</v>
      </c>
      <c r="R4" s="48">
        <f>Twirling_Solo_Program28910111213141516171819202223242526272829303132[[#This Row],[Judge 3
Lucija Ljubičić]]-Q4</f>
        <v>20.8</v>
      </c>
      <c r="S4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Row],[Category]],Twirling_Solo_Program28910111213141516171819202223242526272829303132[J3 TOTAL],"&gt;"&amp;Twirling_Solo_Program28910111213141516171819202223242526272829303132[[#This Row],[J3 TOTAL]])+1</f>
        <v>3</v>
      </c>
      <c r="T4" s="46"/>
      <c r="U4" s="47"/>
      <c r="V4" s="48">
        <f>Twirling_Solo_Program28910111213141516171819202223242526272829303132[[#This Row],[Judge 4
Bernard Barač]]-U4</f>
        <v>0</v>
      </c>
      <c r="W4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Row],[Category]],Twirling_Solo_Program28910111213141516171819202223242526272829303132[J4 TOTAL],"&gt;"&amp;Twirling_Solo_Program28910111213141516171819202223242526272829303132[[#This Row],[J4 TOTAL]])+1</f>
        <v>1</v>
      </c>
      <c r="X4" s="62">
        <f>SUM(Twirling_Solo_Program28910111213141516171819202223242526272829303132[[#This Row],[J1 TOTAL]]+Twirling_Solo_Program28910111213141516171819202223242526272829303132[[#This Row],[J2 TOTAL]]+Twirling_Solo_Program28910111213141516171819202223242526272829303132[[#This Row],[J3 TOTAL]]+Twirling_Solo_Program28910111213141516171819202223242526272829303132[[#This Row],[J4 TOTAL]])</f>
        <v>44.1</v>
      </c>
      <c r="Y4" s="50"/>
      <c r="Z4" s="50"/>
      <c r="AA4" s="50">
        <f>Twirling_Solo_Program28910111213141516171819202223242526272829303132[[#This Row],[Total]]</f>
        <v>44.1</v>
      </c>
      <c r="AB4" s="59">
        <f t="shared" si="0"/>
        <v>23.75</v>
      </c>
      <c r="AC4" s="51">
        <f>Twirling_Solo_Program28910111213141516171819202223242526272829303132[[#This Row],[Final Total]]</f>
        <v>44.1</v>
      </c>
      <c r="AD4" s="60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Row],[Category]],Twirling_Solo_Program28910111213141516171819202223242526272829303132[FINAL SCORE],"&gt;"&amp;Twirling_Solo_Program28910111213141516171819202223242526272829303132[[#This Row],[FINAL SCORE]])+1</f>
        <v>3</v>
      </c>
      <c r="AE4" s="55" t="s">
        <v>48</v>
      </c>
    </row>
    <row r="5" spans="1:50" ht="15.6" x14ac:dyDescent="0.3">
      <c r="A5" s="61">
        <v>62</v>
      </c>
      <c r="B5" s="64">
        <v>2</v>
      </c>
      <c r="C5" s="44" t="s">
        <v>96</v>
      </c>
      <c r="D5" s="44" t="s">
        <v>24</v>
      </c>
      <c r="E5" s="44" t="s">
        <v>100</v>
      </c>
      <c r="F5" s="44" t="s">
        <v>29</v>
      </c>
      <c r="G5" s="44" t="s">
        <v>30</v>
      </c>
      <c r="H5" s="46">
        <v>25.5</v>
      </c>
      <c r="I5" s="47">
        <v>4.7</v>
      </c>
      <c r="J5" s="48">
        <f>Twirling_Solo_Program28910111213141516171819202223242526272829303132[[#This Row],[Judge 1
Tamara Beljak]]-I5</f>
        <v>20.8</v>
      </c>
      <c r="K5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Row],[Category]],Twirling_Solo_Program28910111213141516171819202223242526272829303132[J1 TOTAL],"&gt;"&amp;Twirling_Solo_Program28910111213141516171819202223242526272829303132[[#This Row],[J1 TOTAL]])+1</f>
        <v>4</v>
      </c>
      <c r="L5" s="46"/>
      <c r="M5" s="47"/>
      <c r="N5" s="48">
        <f>Twirling_Solo_Program28910111213141516171819202223242526272829303132[[#This Row],[Judge 2
Tihomir Bendelja]]-Twirling_Solo_Program28910111213141516171819202223242526272829303132[[#This Row],[J2 (-)]]</f>
        <v>0</v>
      </c>
      <c r="O5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Row],[Category]],Twirling_Solo_Program28910111213141516171819202223242526272829303132[J2 TOTAL],"&gt;"&amp;Twirling_Solo_Program28910111213141516171819202223242526272829303132[[#This Row],[J2 TOTAL]])+1</f>
        <v>1</v>
      </c>
      <c r="P5" s="46">
        <v>22.5</v>
      </c>
      <c r="Q5" s="47">
        <v>4.9000000000000004</v>
      </c>
      <c r="R5" s="48">
        <f>Twirling_Solo_Program28910111213141516171819202223242526272829303132[[#This Row],[Judge 3
Lucija Ljubičić]]-Q5</f>
        <v>17.600000000000001</v>
      </c>
      <c r="S5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Row],[Category]],Twirling_Solo_Program28910111213141516171819202223242526272829303132[J3 TOTAL],"&gt;"&amp;Twirling_Solo_Program28910111213141516171819202223242526272829303132[[#This Row],[J3 TOTAL]])+1</f>
        <v>4</v>
      </c>
      <c r="T5" s="46"/>
      <c r="U5" s="47"/>
      <c r="V5" s="48">
        <f>Twirling_Solo_Program28910111213141516171819202223242526272829303132[[#This Row],[Judge 4
Bernard Barač]]-U5</f>
        <v>0</v>
      </c>
      <c r="W5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Row],[Category]],Twirling_Solo_Program28910111213141516171819202223242526272829303132[J4 TOTAL],"&gt;"&amp;Twirling_Solo_Program28910111213141516171819202223242526272829303132[[#This Row],[J4 TOTAL]])+1</f>
        <v>1</v>
      </c>
      <c r="X5" s="50">
        <f>SUM(Twirling_Solo_Program28910111213141516171819202223242526272829303132[[#This Row],[J1 TOTAL]]+Twirling_Solo_Program28910111213141516171819202223242526272829303132[[#This Row],[J2 TOTAL]]+Twirling_Solo_Program28910111213141516171819202223242526272829303132[[#This Row],[J3 TOTAL]]+Twirling_Solo_Program28910111213141516171819202223242526272829303132[[#This Row],[J4 TOTAL]])</f>
        <v>38.400000000000006</v>
      </c>
      <c r="Y5" s="50"/>
      <c r="Z5" s="50"/>
      <c r="AA5" s="50">
        <f>Twirling_Solo_Program28910111213141516171819202223242526272829303132[[#This Row],[Total]]</f>
        <v>38.400000000000006</v>
      </c>
      <c r="AB5" s="50">
        <f t="shared" si="0"/>
        <v>24</v>
      </c>
      <c r="AC5" s="51">
        <f>Twirling_Solo_Program28910111213141516171819202223242526272829303132[[#This Row],[Final Total]]</f>
        <v>38.400000000000006</v>
      </c>
      <c r="AD5" s="52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Row],[Category]],Twirling_Solo_Program28910111213141516171819202223242526272829303132[FINAL SCORE],"&gt;"&amp;Twirling_Solo_Program28910111213141516171819202223242526272829303132[[#This Row],[FINAL SCORE]])+1</f>
        <v>4</v>
      </c>
      <c r="AE5" s="55" t="s">
        <v>48</v>
      </c>
    </row>
    <row r="6" spans="1:50" ht="15.6" x14ac:dyDescent="0.3">
      <c r="A6" s="56">
        <v>64</v>
      </c>
      <c r="B6" s="64">
        <v>2</v>
      </c>
      <c r="C6" s="44" t="s">
        <v>96</v>
      </c>
      <c r="D6" s="57" t="s">
        <v>24</v>
      </c>
      <c r="E6" s="57" t="s">
        <v>103</v>
      </c>
      <c r="F6" s="57" t="s">
        <v>104</v>
      </c>
      <c r="G6" s="57" t="s">
        <v>26</v>
      </c>
      <c r="H6" s="46">
        <v>21.3</v>
      </c>
      <c r="I6" s="47">
        <v>1.2</v>
      </c>
      <c r="J6" s="48">
        <f>Twirling_Solo_Program28910111213141516171819202223242526272829303132[[#This Row],[Judge 1
Tamara Beljak]]-I6</f>
        <v>20.100000000000001</v>
      </c>
      <c r="K6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Row],[Category]],Twirling_Solo_Program28910111213141516171819202223242526272829303132[J1 TOTAL],"&gt;"&amp;Twirling_Solo_Program28910111213141516171819202223242526272829303132[[#This Row],[J1 TOTAL]])+1</f>
        <v>5</v>
      </c>
      <c r="L6" s="46"/>
      <c r="M6" s="47"/>
      <c r="N6" s="48">
        <f>Twirling_Solo_Program28910111213141516171819202223242526272829303132[[#This Row],[Judge 2
Tihomir Bendelja]]-Twirling_Solo_Program28910111213141516171819202223242526272829303132[[#This Row],[J2 (-)]]</f>
        <v>0</v>
      </c>
      <c r="O6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Row],[Category]],Twirling_Solo_Program28910111213141516171819202223242526272829303132[J2 TOTAL],"&gt;"&amp;Twirling_Solo_Program28910111213141516171819202223242526272829303132[[#This Row],[J2 TOTAL]])+1</f>
        <v>1</v>
      </c>
      <c r="P6" s="46">
        <v>18</v>
      </c>
      <c r="Q6" s="47">
        <v>1.2</v>
      </c>
      <c r="R6" s="48">
        <f>Twirling_Solo_Program28910111213141516171819202223242526272829303132[[#This Row],[Judge 3
Lucija Ljubičić]]-Q6</f>
        <v>16.8</v>
      </c>
      <c r="S6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Row],[Category]],Twirling_Solo_Program28910111213141516171819202223242526272829303132[J3 TOTAL],"&gt;"&amp;Twirling_Solo_Program28910111213141516171819202223242526272829303132[[#This Row],[J3 TOTAL]])+1</f>
        <v>5</v>
      </c>
      <c r="T6" s="46"/>
      <c r="U6" s="47"/>
      <c r="V6" s="48">
        <f>Twirling_Solo_Program28910111213141516171819202223242526272829303132[[#This Row],[Judge 4
Bernard Barač]]-U6</f>
        <v>0</v>
      </c>
      <c r="W6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Row],[Category]],Twirling_Solo_Program28910111213141516171819202223242526272829303132[J4 TOTAL],"&gt;"&amp;Twirling_Solo_Program28910111213141516171819202223242526272829303132[[#This Row],[J4 TOTAL]])+1</f>
        <v>1</v>
      </c>
      <c r="X6" s="62">
        <f>SUM(Twirling_Solo_Program28910111213141516171819202223242526272829303132[[#This Row],[J1 TOTAL]]+Twirling_Solo_Program28910111213141516171819202223242526272829303132[[#This Row],[J2 TOTAL]]+Twirling_Solo_Program28910111213141516171819202223242526272829303132[[#This Row],[J3 TOTAL]]+Twirling_Solo_Program28910111213141516171819202223242526272829303132[[#This Row],[J4 TOTAL]])</f>
        <v>36.900000000000006</v>
      </c>
      <c r="Y6" s="50"/>
      <c r="Z6" s="50"/>
      <c r="AA6" s="50">
        <f>Twirling_Solo_Program28910111213141516171819202223242526272829303132[[#This Row],[Total]]</f>
        <v>36.900000000000006</v>
      </c>
      <c r="AB6" s="59">
        <f t="shared" si="0"/>
        <v>19.649999999999999</v>
      </c>
      <c r="AC6" s="51">
        <f>Twirling_Solo_Program28910111213141516171819202223242526272829303132[[#This Row],[Final Total]]</f>
        <v>36.900000000000006</v>
      </c>
      <c r="AD6" s="60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Row],[Category]],Twirling_Solo_Program28910111213141516171819202223242526272829303132[FINAL SCORE],"&gt;"&amp;Twirling_Solo_Program28910111213141516171819202223242526272829303132[[#This Row],[FINAL SCORE]])+1</f>
        <v>5</v>
      </c>
      <c r="AE6" s="55" t="s">
        <v>48</v>
      </c>
    </row>
    <row r="7" spans="1:50" ht="15.6" x14ac:dyDescent="0.3">
      <c r="A7" s="56">
        <v>68</v>
      </c>
      <c r="B7" s="64">
        <v>2</v>
      </c>
      <c r="C7" s="44" t="s">
        <v>96</v>
      </c>
      <c r="D7" s="57" t="s">
        <v>24</v>
      </c>
      <c r="E7" s="57" t="s">
        <v>107</v>
      </c>
      <c r="F7" s="57" t="s">
        <v>38</v>
      </c>
      <c r="G7" s="57" t="s">
        <v>30</v>
      </c>
      <c r="H7" s="46">
        <v>12.4</v>
      </c>
      <c r="I7" s="47">
        <v>1</v>
      </c>
      <c r="J7" s="48">
        <f>Twirling_Solo_Program28910111213141516171819202223242526272829303132[[#This Row],[Judge 1
Tamara Beljak]]-I7</f>
        <v>11.4</v>
      </c>
      <c r="K7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Row],[Category]],Twirling_Solo_Program28910111213141516171819202223242526272829303132[J1 TOTAL],"&gt;"&amp;Twirling_Solo_Program28910111213141516171819202223242526272829303132[[#This Row],[J1 TOTAL]])+1</f>
        <v>6</v>
      </c>
      <c r="L7" s="46"/>
      <c r="M7" s="47"/>
      <c r="N7" s="48">
        <f>Twirling_Solo_Program28910111213141516171819202223242526272829303132[[#This Row],[Judge 2
Tihomir Bendelja]]-Twirling_Solo_Program28910111213141516171819202223242526272829303132[[#This Row],[J2 (-)]]</f>
        <v>0</v>
      </c>
      <c r="O7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Row],[Category]],Twirling_Solo_Program28910111213141516171819202223242526272829303132[J2 TOTAL],"&gt;"&amp;Twirling_Solo_Program28910111213141516171819202223242526272829303132[[#This Row],[J2 TOTAL]])+1</f>
        <v>1</v>
      </c>
      <c r="P7" s="46">
        <v>14.5</v>
      </c>
      <c r="Q7" s="47">
        <v>2</v>
      </c>
      <c r="R7" s="48">
        <f>Twirling_Solo_Program28910111213141516171819202223242526272829303132[[#This Row],[Judge 3
Lucija Ljubičić]]-Q7</f>
        <v>12.5</v>
      </c>
      <c r="S7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Row],[Category]],Twirling_Solo_Program28910111213141516171819202223242526272829303132[J3 TOTAL],"&gt;"&amp;Twirling_Solo_Program28910111213141516171819202223242526272829303132[[#This Row],[J3 TOTAL]])+1</f>
        <v>6</v>
      </c>
      <c r="T7" s="46"/>
      <c r="U7" s="47"/>
      <c r="V7" s="48">
        <f>Twirling_Solo_Program28910111213141516171819202223242526272829303132[[#This Row],[Judge 4
Bernard Barač]]-U7</f>
        <v>0</v>
      </c>
      <c r="W7" s="49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Row],[Category]],Twirling_Solo_Program28910111213141516171819202223242526272829303132[J4 TOTAL],"&gt;"&amp;Twirling_Solo_Program28910111213141516171819202223242526272829303132[[#This Row],[J4 TOTAL]])+1</f>
        <v>1</v>
      </c>
      <c r="X7" s="62">
        <f>SUM(Twirling_Solo_Program28910111213141516171819202223242526272829303132[[#This Row],[J1 TOTAL]]+Twirling_Solo_Program28910111213141516171819202223242526272829303132[[#This Row],[J2 TOTAL]]+Twirling_Solo_Program28910111213141516171819202223242526272829303132[[#This Row],[J3 TOTAL]]+Twirling_Solo_Program28910111213141516171819202223242526272829303132[[#This Row],[J4 TOTAL]])</f>
        <v>23.9</v>
      </c>
      <c r="Y7" s="50"/>
      <c r="Z7" s="50"/>
      <c r="AA7" s="50">
        <f>Twirling_Solo_Program28910111213141516171819202223242526272829303132[[#This Row],[Total]]</f>
        <v>23.9</v>
      </c>
      <c r="AB7" s="59">
        <f t="shared" si="0"/>
        <v>13.45</v>
      </c>
      <c r="AC7" s="51">
        <f>Twirling_Solo_Program28910111213141516171819202223242526272829303132[[#This Row],[Final Total]]</f>
        <v>23.9</v>
      </c>
      <c r="AD7" s="60">
        <f>COUNTIFS(Twirling_Solo_Program28910111213141516171819202223242526272829303132[Age
Division],Twirling_Solo_Program28910111213141516171819202223242526272829303132[[#This Row],[Age
Division]],Twirling_Solo_Program28910111213141516171819202223242526272829303132[Category],Twirling_Solo_Program28910111213141516171819202223242526272829303132[[#This Row],[Category]],Twirling_Solo_Program28910111213141516171819202223242526272829303132[FINAL SCORE],"&gt;"&amp;Twirling_Solo_Program28910111213141516171819202223242526272829303132[[#This Row],[FINAL SCORE]])+1</f>
        <v>6</v>
      </c>
      <c r="AE7" s="55" t="s">
        <v>48</v>
      </c>
    </row>
  </sheetData>
  <sheetProtection algorithmName="SHA-512" hashValue="0pCQx3usHjyd5i/P+4sPQg2uw2iAJ/2b1/kb8A4dAMXoX6j4qo6M6Ug6nerMjsnB/T9P5qY1e+n1K9qTyLb8PA==" saltValue="WzscmyhtHT7krs6SOU8QMg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X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5.6640625" style="43" customWidth="1"/>
    <col min="4" max="4" width="10.6640625" style="53" customWidth="1"/>
    <col min="5" max="5" width="29.33203125" style="45" customWidth="1"/>
    <col min="6" max="6" width="39.88671875" style="45" bestFit="1" customWidth="1"/>
    <col min="7" max="7" width="9.6640625" style="45" bestFit="1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103</v>
      </c>
      <c r="B2" s="64">
        <v>1</v>
      </c>
      <c r="C2" s="44" t="s">
        <v>96</v>
      </c>
      <c r="D2" s="57" t="s">
        <v>28</v>
      </c>
      <c r="E2" s="57" t="s">
        <v>138</v>
      </c>
      <c r="F2" s="57" t="s">
        <v>29</v>
      </c>
      <c r="G2" s="57" t="s">
        <v>30</v>
      </c>
      <c r="H2" s="46"/>
      <c r="I2" s="47"/>
      <c r="J2" s="48">
        <f>Twirling_Solo_Program28910111213141516171819202223242526272829303134353643[[#This Row],[Judge 1
Tamara Beljak]]-I2</f>
        <v>0</v>
      </c>
      <c r="K2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Row],[Category]],Twirling_Solo_Program28910111213141516171819202223242526272829303134353643[J1 TOTAL],"&gt;"&amp;Twirling_Solo_Program28910111213141516171819202223242526272829303134353643[[#This Row],[J1 TOTAL]])+1</f>
        <v>1</v>
      </c>
      <c r="L2" s="46">
        <v>26.7</v>
      </c>
      <c r="M2" s="47">
        <v>0.5</v>
      </c>
      <c r="N2" s="48">
        <f>Twirling_Solo_Program28910111213141516171819202223242526272829303134353643[[#This Row],[Judge 2
Tihomir Bendelja]]-Twirling_Solo_Program28910111213141516171819202223242526272829303134353643[[#This Row],[J2 (-)]]</f>
        <v>26.2</v>
      </c>
      <c r="O2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Row],[Category]],Twirling_Solo_Program28910111213141516171819202223242526272829303134353643[J2 TOTAL],"&gt;"&amp;Twirling_Solo_Program28910111213141516171819202223242526272829303134353643[[#This Row],[J2 TOTAL]])+1</f>
        <v>2</v>
      </c>
      <c r="P2" s="46"/>
      <c r="Q2" s="47"/>
      <c r="R2" s="48">
        <f>Twirling_Solo_Program28910111213141516171819202223242526272829303134353643[[#This Row],[Judge 3
Lucija Ljubičić]]-Q2</f>
        <v>0</v>
      </c>
      <c r="S2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Row],[Category]],Twirling_Solo_Program28910111213141516171819202223242526272829303134353643[J3 TOTAL],"&gt;"&amp;Twirling_Solo_Program28910111213141516171819202223242526272829303134353643[[#This Row],[J3 TOTAL]])+1</f>
        <v>1</v>
      </c>
      <c r="T2" s="46">
        <v>33.6</v>
      </c>
      <c r="U2" s="47">
        <v>0.5</v>
      </c>
      <c r="V2" s="48">
        <f>Twirling_Solo_Program28910111213141516171819202223242526272829303134353643[[#This Row],[Judge 4
Bernard Barač]]-U2</f>
        <v>33.1</v>
      </c>
      <c r="W2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Row],[Category]],Twirling_Solo_Program28910111213141516171819202223242526272829303134353643[J4 TOTAL],"&gt;"&amp;Twirling_Solo_Program28910111213141516171819202223242526272829303134353643[[#This Row],[J4 TOTAL]])+1</f>
        <v>1</v>
      </c>
      <c r="X2" s="62">
        <f>SUM(Twirling_Solo_Program28910111213141516171819202223242526272829303134353643[[#This Row],[J1 TOTAL]]+Twirling_Solo_Program28910111213141516171819202223242526272829303134353643[[#This Row],[J2 TOTAL]]+Twirling_Solo_Program28910111213141516171819202223242526272829303134353643[[#This Row],[J3 TOTAL]]+Twirling_Solo_Program28910111213141516171819202223242526272829303134353643[[#This Row],[J4 TOTAL]])</f>
        <v>59.3</v>
      </c>
      <c r="Y2" s="50"/>
      <c r="Z2" s="50"/>
      <c r="AA2" s="50">
        <f>Twirling_Solo_Program28910111213141516171819202223242526272829303134353643[[#This Row],[Total]]</f>
        <v>59.3</v>
      </c>
      <c r="AB2" s="59">
        <f t="shared" ref="AB2:AB7" si="0">AVERAGE(H2,L2,P2,T2)</f>
        <v>30.15</v>
      </c>
      <c r="AC2" s="51">
        <f>Twirling_Solo_Program28910111213141516171819202223242526272829303134353643[[#This Row],[Final Total]]</f>
        <v>59.3</v>
      </c>
      <c r="AD2" s="60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Row],[Category]],Twirling_Solo_Program28910111213141516171819202223242526272829303134353643[FINAL SCORE],"&gt;"&amp;Twirling_Solo_Program28910111213141516171819202223242526272829303134353643[[#This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99</v>
      </c>
      <c r="B3" s="64">
        <v>1</v>
      </c>
      <c r="C3" s="44" t="s">
        <v>96</v>
      </c>
      <c r="D3" s="57" t="s">
        <v>28</v>
      </c>
      <c r="E3" s="57" t="s">
        <v>134</v>
      </c>
      <c r="F3" s="57" t="s">
        <v>104</v>
      </c>
      <c r="G3" s="57" t="s">
        <v>26</v>
      </c>
      <c r="H3" s="46"/>
      <c r="I3" s="47"/>
      <c r="J3" s="48">
        <f>Twirling_Solo_Program28910111213141516171819202223242526272829303134353643[[#This Row],[Judge 1
Tamara Beljak]]-I3</f>
        <v>0</v>
      </c>
      <c r="K3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Row],[Category]],Twirling_Solo_Program28910111213141516171819202223242526272829303134353643[J1 TOTAL],"&gt;"&amp;Twirling_Solo_Program28910111213141516171819202223242526272829303134353643[[#This Row],[J1 TOTAL]])+1</f>
        <v>1</v>
      </c>
      <c r="L3" s="46">
        <v>27.3</v>
      </c>
      <c r="M3" s="47">
        <v>1</v>
      </c>
      <c r="N3" s="48">
        <f>Twirling_Solo_Program28910111213141516171819202223242526272829303134353643[[#This Row],[Judge 2
Tihomir Bendelja]]-Twirling_Solo_Program28910111213141516171819202223242526272829303134353643[[#This Row],[J2 (-)]]</f>
        <v>26.3</v>
      </c>
      <c r="O3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Row],[Category]],Twirling_Solo_Program28910111213141516171819202223242526272829303134353643[J2 TOTAL],"&gt;"&amp;Twirling_Solo_Program28910111213141516171819202223242526272829303134353643[[#This Row],[J2 TOTAL]])+1</f>
        <v>1</v>
      </c>
      <c r="P3" s="46"/>
      <c r="Q3" s="47"/>
      <c r="R3" s="48">
        <f>Twirling_Solo_Program28910111213141516171819202223242526272829303134353643[[#This Row],[Judge 3
Lucija Ljubičić]]-Q3</f>
        <v>0</v>
      </c>
      <c r="S3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Row],[Category]],Twirling_Solo_Program28910111213141516171819202223242526272829303134353643[J3 TOTAL],"&gt;"&amp;Twirling_Solo_Program28910111213141516171819202223242526272829303134353643[[#This Row],[J3 TOTAL]])+1</f>
        <v>1</v>
      </c>
      <c r="T3" s="46">
        <v>33.700000000000003</v>
      </c>
      <c r="U3" s="47">
        <v>1</v>
      </c>
      <c r="V3" s="48">
        <f>Twirling_Solo_Program28910111213141516171819202223242526272829303134353643[[#This Row],[Judge 4
Bernard Barač]]-U3</f>
        <v>32.700000000000003</v>
      </c>
      <c r="W3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Row],[Category]],Twirling_Solo_Program28910111213141516171819202223242526272829303134353643[J4 TOTAL],"&gt;"&amp;Twirling_Solo_Program28910111213141516171819202223242526272829303134353643[[#This Row],[J4 TOTAL]])+1</f>
        <v>2</v>
      </c>
      <c r="X3" s="62">
        <f>SUM(Twirling_Solo_Program28910111213141516171819202223242526272829303134353643[[#This Row],[J1 TOTAL]]+Twirling_Solo_Program28910111213141516171819202223242526272829303134353643[[#This Row],[J2 TOTAL]]+Twirling_Solo_Program28910111213141516171819202223242526272829303134353643[[#This Row],[J3 TOTAL]]+Twirling_Solo_Program28910111213141516171819202223242526272829303134353643[[#This Row],[J4 TOTAL]])</f>
        <v>59</v>
      </c>
      <c r="Y3" s="50"/>
      <c r="Z3" s="50"/>
      <c r="AA3" s="50">
        <f>Twirling_Solo_Program28910111213141516171819202223242526272829303134353643[[#This Row],[Total]]</f>
        <v>59</v>
      </c>
      <c r="AB3" s="59">
        <f t="shared" si="0"/>
        <v>30.5</v>
      </c>
      <c r="AC3" s="51">
        <f>Twirling_Solo_Program28910111213141516171819202223242526272829303134353643[[#This Row],[Final Total]]</f>
        <v>59</v>
      </c>
      <c r="AD3" s="60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Row],[Category]],Twirling_Solo_Program28910111213141516171819202223242526272829303134353643[FINAL SCORE],"&gt;"&amp;Twirling_Solo_Program28910111213141516171819202223242526272829303134353643[[#This Row],[FINAL SCORE]])+1</f>
        <v>2</v>
      </c>
      <c r="AE3" s="55" t="s">
        <v>48</v>
      </c>
    </row>
    <row r="4" spans="1:50" ht="15.6" x14ac:dyDescent="0.3">
      <c r="A4" s="56">
        <v>101</v>
      </c>
      <c r="B4" s="64">
        <v>1</v>
      </c>
      <c r="C4" s="44" t="s">
        <v>96</v>
      </c>
      <c r="D4" s="57" t="s">
        <v>28</v>
      </c>
      <c r="E4" s="57" t="s">
        <v>136</v>
      </c>
      <c r="F4" s="57" t="s">
        <v>29</v>
      </c>
      <c r="G4" s="57" t="s">
        <v>30</v>
      </c>
      <c r="H4" s="46"/>
      <c r="I4" s="47"/>
      <c r="J4" s="48">
        <f>Twirling_Solo_Program28910111213141516171819202223242526272829303134353643[[#This Row],[Judge 1
Tamara Beljak]]-I4</f>
        <v>0</v>
      </c>
      <c r="K4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Row],[Category]],Twirling_Solo_Program28910111213141516171819202223242526272829303134353643[J1 TOTAL],"&gt;"&amp;Twirling_Solo_Program28910111213141516171819202223242526272829303134353643[[#This Row],[J1 TOTAL]])+1</f>
        <v>1</v>
      </c>
      <c r="L4" s="46">
        <v>26</v>
      </c>
      <c r="M4" s="47">
        <v>2</v>
      </c>
      <c r="N4" s="48">
        <f>Twirling_Solo_Program28910111213141516171819202223242526272829303134353643[[#This Row],[Judge 2
Tihomir Bendelja]]-Twirling_Solo_Program28910111213141516171819202223242526272829303134353643[[#This Row],[J2 (-)]]</f>
        <v>24</v>
      </c>
      <c r="O4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Row],[Category]],Twirling_Solo_Program28910111213141516171819202223242526272829303134353643[J2 TOTAL],"&gt;"&amp;Twirling_Solo_Program28910111213141516171819202223242526272829303134353643[[#This Row],[J2 TOTAL]])+1</f>
        <v>3</v>
      </c>
      <c r="P4" s="46"/>
      <c r="Q4" s="47"/>
      <c r="R4" s="48">
        <f>Twirling_Solo_Program28910111213141516171819202223242526272829303134353643[[#This Row],[Judge 3
Lucija Ljubičić]]-Q4</f>
        <v>0</v>
      </c>
      <c r="S4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Row],[Category]],Twirling_Solo_Program28910111213141516171819202223242526272829303134353643[J3 TOTAL],"&gt;"&amp;Twirling_Solo_Program28910111213141516171819202223242526272829303134353643[[#This Row],[J3 TOTAL]])+1</f>
        <v>1</v>
      </c>
      <c r="T4" s="46">
        <v>32.9</v>
      </c>
      <c r="U4" s="47">
        <v>2</v>
      </c>
      <c r="V4" s="48">
        <f>Twirling_Solo_Program28910111213141516171819202223242526272829303134353643[[#This Row],[Judge 4
Bernard Barač]]-U4</f>
        <v>30.9</v>
      </c>
      <c r="W4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Row],[Category]],Twirling_Solo_Program28910111213141516171819202223242526272829303134353643[J4 TOTAL],"&gt;"&amp;Twirling_Solo_Program28910111213141516171819202223242526272829303134353643[[#This Row],[J4 TOTAL]])+1</f>
        <v>3</v>
      </c>
      <c r="X4" s="62">
        <f>SUM(Twirling_Solo_Program28910111213141516171819202223242526272829303134353643[[#This Row],[J1 TOTAL]]+Twirling_Solo_Program28910111213141516171819202223242526272829303134353643[[#This Row],[J2 TOTAL]]+Twirling_Solo_Program28910111213141516171819202223242526272829303134353643[[#This Row],[J3 TOTAL]]+Twirling_Solo_Program28910111213141516171819202223242526272829303134353643[[#This Row],[J4 TOTAL]])</f>
        <v>54.9</v>
      </c>
      <c r="Y4" s="50"/>
      <c r="Z4" s="50"/>
      <c r="AA4" s="50">
        <f>Twirling_Solo_Program28910111213141516171819202223242526272829303134353643[[#This Row],[Total]]</f>
        <v>54.9</v>
      </c>
      <c r="AB4" s="59">
        <f t="shared" si="0"/>
        <v>29.45</v>
      </c>
      <c r="AC4" s="51">
        <f>Twirling_Solo_Program28910111213141516171819202223242526272829303134353643[[#This Row],[Final Total]]</f>
        <v>54.9</v>
      </c>
      <c r="AD4" s="60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Row],[Category]],Twirling_Solo_Program28910111213141516171819202223242526272829303134353643[FINAL SCORE],"&gt;"&amp;Twirling_Solo_Program28910111213141516171819202223242526272829303134353643[[#This Row],[FINAL SCORE]])+1</f>
        <v>3</v>
      </c>
      <c r="AE4" s="55" t="s">
        <v>48</v>
      </c>
    </row>
    <row r="5" spans="1:50" ht="15.6" x14ac:dyDescent="0.3">
      <c r="A5" s="56">
        <v>97</v>
      </c>
      <c r="B5" s="64">
        <v>1</v>
      </c>
      <c r="C5" s="44" t="s">
        <v>96</v>
      </c>
      <c r="D5" s="57" t="s">
        <v>28</v>
      </c>
      <c r="E5" s="57" t="s">
        <v>132</v>
      </c>
      <c r="F5" s="57" t="s">
        <v>104</v>
      </c>
      <c r="G5" s="57" t="s">
        <v>26</v>
      </c>
      <c r="H5" s="46"/>
      <c r="I5" s="47"/>
      <c r="J5" s="48">
        <f>Twirling_Solo_Program28910111213141516171819202223242526272829303134353643[[#This Row],[Judge 1
Tamara Beljak]]-I5</f>
        <v>0</v>
      </c>
      <c r="K5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Row],[Category]],Twirling_Solo_Program28910111213141516171819202223242526272829303134353643[J1 TOTAL],"&gt;"&amp;Twirling_Solo_Program28910111213141516171819202223242526272829303134353643[[#This Row],[J1 TOTAL]])+1</f>
        <v>1</v>
      </c>
      <c r="L5" s="46">
        <v>23.8</v>
      </c>
      <c r="M5" s="47">
        <v>0.5</v>
      </c>
      <c r="N5" s="48">
        <f>Twirling_Solo_Program28910111213141516171819202223242526272829303134353643[[#This Row],[Judge 2
Tihomir Bendelja]]-Twirling_Solo_Program28910111213141516171819202223242526272829303134353643[[#This Row],[J2 (-)]]</f>
        <v>23.3</v>
      </c>
      <c r="O5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Row],[Category]],Twirling_Solo_Program28910111213141516171819202223242526272829303134353643[J2 TOTAL],"&gt;"&amp;Twirling_Solo_Program28910111213141516171819202223242526272829303134353643[[#This Row],[J2 TOTAL]])+1</f>
        <v>4</v>
      </c>
      <c r="P5" s="46"/>
      <c r="Q5" s="47"/>
      <c r="R5" s="48">
        <f>Twirling_Solo_Program28910111213141516171819202223242526272829303134353643[[#This Row],[Judge 3
Lucija Ljubičić]]-Q5</f>
        <v>0</v>
      </c>
      <c r="S5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Row],[Category]],Twirling_Solo_Program28910111213141516171819202223242526272829303134353643[J3 TOTAL],"&gt;"&amp;Twirling_Solo_Program28910111213141516171819202223242526272829303134353643[[#This Row],[J3 TOTAL]])+1</f>
        <v>1</v>
      </c>
      <c r="T5" s="46">
        <v>31.5</v>
      </c>
      <c r="U5" s="47">
        <v>0.6</v>
      </c>
      <c r="V5" s="48">
        <f>Twirling_Solo_Program28910111213141516171819202223242526272829303134353643[[#This Row],[Judge 4
Bernard Barač]]-U5</f>
        <v>30.9</v>
      </c>
      <c r="W5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Row],[Category]],Twirling_Solo_Program28910111213141516171819202223242526272829303134353643[J4 TOTAL],"&gt;"&amp;Twirling_Solo_Program28910111213141516171819202223242526272829303134353643[[#This Row],[J4 TOTAL]])+1</f>
        <v>3</v>
      </c>
      <c r="X5" s="62">
        <f>SUM(Twirling_Solo_Program28910111213141516171819202223242526272829303134353643[[#This Row],[J1 TOTAL]]+Twirling_Solo_Program28910111213141516171819202223242526272829303134353643[[#This Row],[J2 TOTAL]]+Twirling_Solo_Program28910111213141516171819202223242526272829303134353643[[#This Row],[J3 TOTAL]]+Twirling_Solo_Program28910111213141516171819202223242526272829303134353643[[#This Row],[J4 TOTAL]])</f>
        <v>54.2</v>
      </c>
      <c r="Y5" s="50"/>
      <c r="Z5" s="50"/>
      <c r="AA5" s="50">
        <f>Twirling_Solo_Program28910111213141516171819202223242526272829303134353643[[#This Row],[Total]]</f>
        <v>54.2</v>
      </c>
      <c r="AB5" s="59">
        <f t="shared" si="0"/>
        <v>27.65</v>
      </c>
      <c r="AC5" s="51">
        <f>Twirling_Solo_Program28910111213141516171819202223242526272829303134353643[[#This Row],[Final Total]]</f>
        <v>54.2</v>
      </c>
      <c r="AD5" s="60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Row],[Category]],Twirling_Solo_Program28910111213141516171819202223242526272829303134353643[FINAL SCORE],"&gt;"&amp;Twirling_Solo_Program28910111213141516171819202223242526272829303134353643[[#This Row],[FINAL SCORE]])+1</f>
        <v>4</v>
      </c>
      <c r="AE5" s="55" t="s">
        <v>48</v>
      </c>
    </row>
    <row r="6" spans="1:50" ht="15.6" x14ac:dyDescent="0.3">
      <c r="A6" s="61">
        <v>93</v>
      </c>
      <c r="B6" s="64">
        <v>1</v>
      </c>
      <c r="C6" s="44" t="s">
        <v>96</v>
      </c>
      <c r="D6" s="44" t="s">
        <v>28</v>
      </c>
      <c r="E6" s="44" t="s">
        <v>128</v>
      </c>
      <c r="F6" s="44" t="s">
        <v>47</v>
      </c>
      <c r="G6" s="44" t="s">
        <v>30</v>
      </c>
      <c r="H6" s="46"/>
      <c r="I6" s="47"/>
      <c r="J6" s="48">
        <f>Twirling_Solo_Program28910111213141516171819202223242526272829303134353643[[#This Row],[Judge 1
Tamara Beljak]]-I6</f>
        <v>0</v>
      </c>
      <c r="K6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Row],[Category]],Twirling_Solo_Program28910111213141516171819202223242526272829303134353643[J1 TOTAL],"&gt;"&amp;Twirling_Solo_Program28910111213141516171819202223242526272829303134353643[[#This Row],[J1 TOTAL]])+1</f>
        <v>1</v>
      </c>
      <c r="L6" s="46">
        <v>26.8</v>
      </c>
      <c r="M6" s="47">
        <v>4</v>
      </c>
      <c r="N6" s="48">
        <f>Twirling_Solo_Program28910111213141516171819202223242526272829303134353643[[#This Row],[Judge 2
Tihomir Bendelja]]-Twirling_Solo_Program28910111213141516171819202223242526272829303134353643[[#This Row],[J2 (-)]]</f>
        <v>22.8</v>
      </c>
      <c r="O6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Row],[Category]],Twirling_Solo_Program28910111213141516171819202223242526272829303134353643[J2 TOTAL],"&gt;"&amp;Twirling_Solo_Program28910111213141516171819202223242526272829303134353643[[#This Row],[J2 TOTAL]])+1</f>
        <v>5</v>
      </c>
      <c r="P6" s="46"/>
      <c r="Q6" s="47"/>
      <c r="R6" s="48">
        <f>Twirling_Solo_Program28910111213141516171819202223242526272829303134353643[[#This Row],[Judge 3
Lucija Ljubičić]]-Q6</f>
        <v>0</v>
      </c>
      <c r="S6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Row],[Category]],Twirling_Solo_Program28910111213141516171819202223242526272829303134353643[J3 TOTAL],"&gt;"&amp;Twirling_Solo_Program28910111213141516171819202223242526272829303134353643[[#This Row],[J3 TOTAL]])+1</f>
        <v>1</v>
      </c>
      <c r="T6" s="46">
        <v>33.700000000000003</v>
      </c>
      <c r="U6" s="47">
        <v>4</v>
      </c>
      <c r="V6" s="48">
        <f>Twirling_Solo_Program28910111213141516171819202223242526272829303134353643[[#This Row],[Judge 4
Bernard Barač]]-U6</f>
        <v>29.700000000000003</v>
      </c>
      <c r="W6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Row],[Category]],Twirling_Solo_Program28910111213141516171819202223242526272829303134353643[J4 TOTAL],"&gt;"&amp;Twirling_Solo_Program28910111213141516171819202223242526272829303134353643[[#This Row],[J4 TOTAL]])+1</f>
        <v>5</v>
      </c>
      <c r="X6" s="50">
        <f>SUM(Twirling_Solo_Program28910111213141516171819202223242526272829303134353643[[#This Row],[J1 TOTAL]]+Twirling_Solo_Program28910111213141516171819202223242526272829303134353643[[#This Row],[J2 TOTAL]]+Twirling_Solo_Program28910111213141516171819202223242526272829303134353643[[#This Row],[J3 TOTAL]]+Twirling_Solo_Program28910111213141516171819202223242526272829303134353643[[#This Row],[J4 TOTAL]])</f>
        <v>52.5</v>
      </c>
      <c r="Y6" s="50"/>
      <c r="Z6" s="50"/>
      <c r="AA6" s="50">
        <f>Twirling_Solo_Program28910111213141516171819202223242526272829303134353643[[#This Row],[Total]]</f>
        <v>52.5</v>
      </c>
      <c r="AB6" s="50">
        <f t="shared" si="0"/>
        <v>30.25</v>
      </c>
      <c r="AC6" s="51">
        <f>Twirling_Solo_Program28910111213141516171819202223242526272829303134353643[[#This Row],[Final Total]]</f>
        <v>52.5</v>
      </c>
      <c r="AD6" s="52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Row],[Category]],Twirling_Solo_Program28910111213141516171819202223242526272829303134353643[FINAL SCORE],"&gt;"&amp;Twirling_Solo_Program28910111213141516171819202223242526272829303134353643[[#This Row],[FINAL SCORE]])+1</f>
        <v>5</v>
      </c>
      <c r="AE6" s="55" t="s">
        <v>48</v>
      </c>
    </row>
    <row r="7" spans="1:50" ht="15.6" x14ac:dyDescent="0.3">
      <c r="A7" s="56">
        <v>95</v>
      </c>
      <c r="B7" s="64">
        <v>1</v>
      </c>
      <c r="C7" s="44" t="s">
        <v>96</v>
      </c>
      <c r="D7" s="57" t="s">
        <v>28</v>
      </c>
      <c r="E7" s="57" t="s">
        <v>130</v>
      </c>
      <c r="F7" s="57" t="s">
        <v>102</v>
      </c>
      <c r="G7" s="57" t="s">
        <v>30</v>
      </c>
      <c r="H7" s="46"/>
      <c r="I7" s="47"/>
      <c r="J7" s="48">
        <f>Twirling_Solo_Program28910111213141516171819202223242526272829303134353643[[#This Row],[Judge 1
Tamara Beljak]]-I7</f>
        <v>0</v>
      </c>
      <c r="K7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Row],[Category]],Twirling_Solo_Program28910111213141516171819202223242526272829303134353643[J1 TOTAL],"&gt;"&amp;Twirling_Solo_Program28910111213141516171819202223242526272829303134353643[[#This Row],[J1 TOTAL]])+1</f>
        <v>1</v>
      </c>
      <c r="L7" s="46">
        <v>22.5</v>
      </c>
      <c r="M7" s="47">
        <v>1.5</v>
      </c>
      <c r="N7" s="48">
        <f>Twirling_Solo_Program28910111213141516171819202223242526272829303134353643[[#This Row],[Judge 2
Tihomir Bendelja]]-Twirling_Solo_Program28910111213141516171819202223242526272829303134353643[[#This Row],[J2 (-)]]</f>
        <v>21</v>
      </c>
      <c r="O7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Row],[Category]],Twirling_Solo_Program28910111213141516171819202223242526272829303134353643[J2 TOTAL],"&gt;"&amp;Twirling_Solo_Program28910111213141516171819202223242526272829303134353643[[#This Row],[J2 TOTAL]])+1</f>
        <v>6</v>
      </c>
      <c r="P7" s="46"/>
      <c r="Q7" s="47"/>
      <c r="R7" s="48">
        <f>Twirling_Solo_Program28910111213141516171819202223242526272829303134353643[[#This Row],[Judge 3
Lucija Ljubičić]]-Q7</f>
        <v>0</v>
      </c>
      <c r="S7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Row],[Category]],Twirling_Solo_Program28910111213141516171819202223242526272829303134353643[J3 TOTAL],"&gt;"&amp;Twirling_Solo_Program28910111213141516171819202223242526272829303134353643[[#This Row],[J3 TOTAL]])+1</f>
        <v>1</v>
      </c>
      <c r="T7" s="46">
        <v>24.5</v>
      </c>
      <c r="U7" s="47">
        <v>1.5</v>
      </c>
      <c r="V7" s="48">
        <f>Twirling_Solo_Program28910111213141516171819202223242526272829303134353643[[#This Row],[Judge 4
Bernard Barač]]-U7</f>
        <v>23</v>
      </c>
      <c r="W7" s="49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Row],[Category]],Twirling_Solo_Program28910111213141516171819202223242526272829303134353643[J4 TOTAL],"&gt;"&amp;Twirling_Solo_Program28910111213141516171819202223242526272829303134353643[[#This Row],[J4 TOTAL]])+1</f>
        <v>6</v>
      </c>
      <c r="X7" s="62">
        <f>SUM(Twirling_Solo_Program28910111213141516171819202223242526272829303134353643[[#This Row],[J1 TOTAL]]+Twirling_Solo_Program28910111213141516171819202223242526272829303134353643[[#This Row],[J2 TOTAL]]+Twirling_Solo_Program28910111213141516171819202223242526272829303134353643[[#This Row],[J3 TOTAL]]+Twirling_Solo_Program28910111213141516171819202223242526272829303134353643[[#This Row],[J4 TOTAL]])</f>
        <v>44</v>
      </c>
      <c r="Y7" s="50"/>
      <c r="Z7" s="50"/>
      <c r="AA7" s="50">
        <f>Twirling_Solo_Program28910111213141516171819202223242526272829303134353643[[#This Row],[Total]]</f>
        <v>44</v>
      </c>
      <c r="AB7" s="59">
        <f t="shared" si="0"/>
        <v>23.5</v>
      </c>
      <c r="AC7" s="51">
        <f>Twirling_Solo_Program28910111213141516171819202223242526272829303134353643[[#This Row],[Final Total]]</f>
        <v>44</v>
      </c>
      <c r="AD7" s="60">
        <f>COUNTIFS(Twirling_Solo_Program28910111213141516171819202223242526272829303134353643[Age
Division],Twirling_Solo_Program28910111213141516171819202223242526272829303134353643[[#This Row],[Age
Division]],Twirling_Solo_Program28910111213141516171819202223242526272829303134353643[Category],Twirling_Solo_Program28910111213141516171819202223242526272829303134353643[[#This Row],[Category]],Twirling_Solo_Program28910111213141516171819202223242526272829303134353643[FINAL SCORE],"&gt;"&amp;Twirling_Solo_Program28910111213141516171819202223242526272829303134353643[[#This Row],[FINAL SCORE]])+1</f>
        <v>6</v>
      </c>
      <c r="AE7" s="55" t="s">
        <v>48</v>
      </c>
    </row>
  </sheetData>
  <sheetProtection algorithmName="SHA-512" hashValue="pxUacv1OMhjVrIXikPlLAECJVNVtSEXi2JNmzXofzm8sbiSggcodlBbVoXp+VmV4SitBNIdtlLnKtDt74uvvXg==" saltValue="YxFoJ1JCP22fMS0CPIQrvw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77734375" style="43" customWidth="1"/>
    <col min="3" max="3" width="16.33203125" style="43" customWidth="1"/>
    <col min="4" max="4" width="9.109375" style="53" customWidth="1"/>
    <col min="5" max="5" width="22.21875" style="45" customWidth="1"/>
    <col min="6" max="6" width="26.33203125" style="45" customWidth="1"/>
    <col min="7" max="7" width="10.33203125" style="45" customWidth="1"/>
    <col min="8" max="9" width="9.21875" style="45" customWidth="1"/>
    <col min="10" max="11" width="9.21875" style="54" customWidth="1"/>
    <col min="12" max="15" width="9.21875" style="54" hidden="1" customWidth="1"/>
    <col min="16" max="19" width="9.21875" style="54" customWidth="1"/>
    <col min="20" max="22" width="9.21875" style="54" hidden="1" customWidth="1"/>
    <col min="23" max="23" width="9.21875" style="45" hidden="1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0.1093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59</v>
      </c>
      <c r="B2" s="64">
        <v>2</v>
      </c>
      <c r="C2" s="44" t="s">
        <v>96</v>
      </c>
      <c r="D2" s="44" t="s">
        <v>33</v>
      </c>
      <c r="E2" s="44" t="s">
        <v>97</v>
      </c>
      <c r="F2" s="44" t="s">
        <v>29</v>
      </c>
      <c r="G2" s="44" t="s">
        <v>30</v>
      </c>
      <c r="H2" s="46">
        <v>27</v>
      </c>
      <c r="I2" s="47">
        <v>4.5</v>
      </c>
      <c r="J2" s="48">
        <f>Twirling_Solo_Program28910111213141516171819202223242526272829[[#This Row],[Judge 1
Tamara Beljak]]-I2</f>
        <v>22.5</v>
      </c>
      <c r="K2" s="49">
        <f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Row],[Category]],Twirling_Solo_Program28910111213141516171819202223242526272829[J1 TOTAL],"&gt;"&amp;Twirling_Solo_Program28910111213141516171819202223242526272829[[#This Row],[J1 TOTAL]])+1</f>
        <v>1</v>
      </c>
      <c r="L2" s="46"/>
      <c r="M2" s="47"/>
      <c r="N2" s="48">
        <f>Twirling_Solo_Program28910111213141516171819202223242526272829[[#This Row],[Judge 2
Tihomir Bendelja]]-Twirling_Solo_Program28910111213141516171819202223242526272829[[#This Row],[J2 (-)]]</f>
        <v>0</v>
      </c>
      <c r="O2" s="49">
        <f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Row],[Category]],Twirling_Solo_Program28910111213141516171819202223242526272829[J2 TOTAL],"&gt;"&amp;Twirling_Solo_Program28910111213141516171819202223242526272829[[#This Row],[J2 TOTAL]])+1</f>
        <v>1</v>
      </c>
      <c r="P2" s="46">
        <v>26.5</v>
      </c>
      <c r="Q2" s="47">
        <v>5</v>
      </c>
      <c r="R2" s="48">
        <f>Twirling_Solo_Program28910111213141516171819202223242526272829[[#This Row],[Judge 3
Lucija Ljubičić]]-Q2</f>
        <v>21.5</v>
      </c>
      <c r="S2" s="49">
        <f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Row],[Category]],Twirling_Solo_Program28910111213141516171819202223242526272829[J3 TOTAL],"&gt;"&amp;Twirling_Solo_Program28910111213141516171819202223242526272829[[#This Row],[J3 TOTAL]])+1</f>
        <v>1</v>
      </c>
      <c r="T2" s="46"/>
      <c r="U2" s="47"/>
      <c r="V2" s="48">
        <f>Twirling_Solo_Program28910111213141516171819202223242526272829[[#This Row],[Judge 4
Bernard Barač]]-U2</f>
        <v>0</v>
      </c>
      <c r="W2" s="49">
        <f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Row],[Category]],Twirling_Solo_Program28910111213141516171819202223242526272829[J4 TOTAL],"&gt;"&amp;Twirling_Solo_Program28910111213141516171819202223242526272829[[#This Row],[J4 TOTAL]])+1</f>
        <v>1</v>
      </c>
      <c r="X2" s="50">
        <f>SUM(Twirling_Solo_Program28910111213141516171819202223242526272829[[#This Row],[J1 TOTAL]]+Twirling_Solo_Program28910111213141516171819202223242526272829[[#This Row],[J2 TOTAL]]+Twirling_Solo_Program28910111213141516171819202223242526272829[[#This Row],[J3 TOTAL]]+Twirling_Solo_Program28910111213141516171819202223242526272829[[#This Row],[J4 TOTAL]])</f>
        <v>44</v>
      </c>
      <c r="Y2" s="50"/>
      <c r="Z2" s="50"/>
      <c r="AA2" s="50">
        <f>SUM(Twirling_Solo_Program28910111213141516171819202223242526272829[[#This Row],[Total]]-Twirling_Solo_Program28910111213141516171819202223242526272829[[#This Row],[Low]]-Twirling_Solo_Program28910111213141516171819202223242526272829[[#This Row],[High]])</f>
        <v>44</v>
      </c>
      <c r="AB2" s="50">
        <f>AVERAGE(H2,L2,P2,T2)</f>
        <v>26.75</v>
      </c>
      <c r="AC2" s="51">
        <f>Twirling_Solo_Program28910111213141516171819202223242526272829[[#This Row],[Final Total]]</f>
        <v>44</v>
      </c>
      <c r="AD2" s="52">
        <f>COUNTIFS(Twirling_Solo_Program28910111213141516171819202223242526272829[Age
Division],Twirling_Solo_Program28910111213141516171819202223242526272829[[#This Row],[Age
Division]],Twirling_Solo_Program28910111213141516171819202223242526272829[Category],Twirling_Solo_Program28910111213141516171819202223242526272829[[#This Row],[Category]],Twirling_Solo_Program28910111213141516171819202223242526272829[FINAL SCORE],"&gt;"&amp;Twirling_Solo_Program28910111213141516171819202223242526272829[[#This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ZIa9oPu0W/IuUVoh0364+y3ip3er2+cWCK/wAXWXKTzuL+HACoRAMHos7EK+f+01rLVyt2vvIeZWCu2dvvo3+A==" saltValue="ug+kRzh/IOEY43nPi+M9h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X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77734375" style="43" customWidth="1"/>
    <col min="3" max="3" width="15.6640625" style="43" customWidth="1"/>
    <col min="4" max="4" width="9.6640625" style="53" bestFit="1" customWidth="1"/>
    <col min="5" max="5" width="42.6640625" style="45" bestFit="1" customWidth="1"/>
    <col min="6" max="6" width="49.5546875" style="45" bestFit="1" customWidth="1"/>
    <col min="7" max="7" width="13.33203125" style="45" bestFit="1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6.8867187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22</v>
      </c>
      <c r="B2" s="57">
        <v>1</v>
      </c>
      <c r="C2" s="44" t="s">
        <v>45</v>
      </c>
      <c r="D2" s="57" t="s">
        <v>36</v>
      </c>
      <c r="E2" s="57" t="s">
        <v>52</v>
      </c>
      <c r="F2" s="57" t="s">
        <v>31</v>
      </c>
      <c r="G2" s="58" t="s">
        <v>32</v>
      </c>
      <c r="H2" s="46"/>
      <c r="I2" s="47"/>
      <c r="J2" s="48">
        <f>Twirling_Solo_Program289101112131415161718[[#This Row],[Judge 1
Tamara Beljak]]-I2</f>
        <v>0</v>
      </c>
      <c r="K2" s="49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f>
        <v>1</v>
      </c>
      <c r="L2" s="46">
        <v>27.9</v>
      </c>
      <c r="M2" s="47">
        <v>0.5</v>
      </c>
      <c r="N2" s="48">
        <f>Twirling_Solo_Program289101112131415161718[[#This Row],[Judge 2
Tihomir Bendelja]]-Twirling_Solo_Program289101112131415161718[[#This Row],[J2 (-)]]</f>
        <v>27.4</v>
      </c>
      <c r="O2" s="49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f>
        <v>1</v>
      </c>
      <c r="P2" s="46"/>
      <c r="Q2" s="47"/>
      <c r="R2" s="48">
        <f>Twirling_Solo_Program289101112131415161718[[#This Row],[Judge 3
Lucija Ljubičić]]-Q2</f>
        <v>0</v>
      </c>
      <c r="S2" s="49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f>
        <v>1</v>
      </c>
      <c r="T2" s="46">
        <v>27.8</v>
      </c>
      <c r="U2" s="47">
        <v>0.6</v>
      </c>
      <c r="V2" s="48">
        <f>Twirling_Solo_Program289101112131415161718[[#This Row],[Judge 4
Bernard Barač]]-U2</f>
        <v>27.2</v>
      </c>
      <c r="W2" s="49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f>
        <v>1</v>
      </c>
      <c r="X2" s="62">
        <f>SUM(Twirling_Solo_Program289101112131415161718[[#This Row],[J1 TOTAL]]+Twirling_Solo_Program289101112131415161718[[#This Row],[J2 TOTAL]]+Twirling_Solo_Program289101112131415161718[[#This Row],[J3 TOTAL]]+Twirling_Solo_Program289101112131415161718[[#This Row],[J4 TOTAL]])</f>
        <v>54.599999999999994</v>
      </c>
      <c r="Y2" s="50"/>
      <c r="Z2" s="50"/>
      <c r="AA2" s="50">
        <f>SUM(Twirling_Solo_Program289101112131415161718[[#This Row],[Total]]-Twirling_Solo_Program289101112131415161718[[#This Row],[Low]]-Twirling_Solo_Program289101112131415161718[[#This Row],[High]])</f>
        <v>54.599999999999994</v>
      </c>
      <c r="AB2" s="59">
        <f>AVERAGE(H2,L2,P2,T2)</f>
        <v>27.85</v>
      </c>
      <c r="AC2" s="51">
        <f>Twirling_Solo_Program289101112131415161718[[#This Row],[Final Total]]</f>
        <v>54.599999999999994</v>
      </c>
      <c r="AD2" s="60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20</v>
      </c>
      <c r="B3" s="44">
        <v>1</v>
      </c>
      <c r="C3" s="44" t="s">
        <v>45</v>
      </c>
      <c r="D3" s="44" t="s">
        <v>36</v>
      </c>
      <c r="E3" s="44" t="s">
        <v>46</v>
      </c>
      <c r="F3" s="44" t="s">
        <v>47</v>
      </c>
      <c r="G3" s="58" t="s">
        <v>30</v>
      </c>
      <c r="H3" s="46"/>
      <c r="I3" s="47"/>
      <c r="J3" s="48">
        <f>Twirling_Solo_Program289101112131415161718[[#This Row],[Judge 1
Tamara Beljak]]-I3</f>
        <v>0</v>
      </c>
      <c r="K3" s="49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f>
        <v>1</v>
      </c>
      <c r="L3" s="46">
        <v>25</v>
      </c>
      <c r="M3" s="47">
        <v>0</v>
      </c>
      <c r="N3" s="48">
        <f>Twirling_Solo_Program289101112131415161718[[#This Row],[Judge 2
Tihomir Bendelja]]-Twirling_Solo_Program289101112131415161718[[#This Row],[J2 (-)]]</f>
        <v>25</v>
      </c>
      <c r="O3" s="49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f>
        <v>2</v>
      </c>
      <c r="P3" s="46"/>
      <c r="Q3" s="47"/>
      <c r="R3" s="48">
        <f>Twirling_Solo_Program289101112131415161718[[#This Row],[Judge 3
Lucija Ljubičić]]-Q3</f>
        <v>0</v>
      </c>
      <c r="S3" s="49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f>
        <v>1</v>
      </c>
      <c r="T3" s="46">
        <v>25.2</v>
      </c>
      <c r="U3" s="47">
        <v>0.2</v>
      </c>
      <c r="V3" s="48">
        <f>Twirling_Solo_Program289101112131415161718[[#This Row],[Judge 4
Bernard Barač]]-U3</f>
        <v>25</v>
      </c>
      <c r="W3" s="49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f>
        <v>2</v>
      </c>
      <c r="X3" s="50">
        <f>SUM(Twirling_Solo_Program289101112131415161718[[#This Row],[J1 TOTAL]]+Twirling_Solo_Program289101112131415161718[[#This Row],[J2 TOTAL]]+Twirling_Solo_Program289101112131415161718[[#This Row],[J3 TOTAL]]+Twirling_Solo_Program289101112131415161718[[#This Row],[J4 TOTAL]])</f>
        <v>50</v>
      </c>
      <c r="Y3" s="50"/>
      <c r="Z3" s="50"/>
      <c r="AA3" s="50">
        <f>SUM(Twirling_Solo_Program289101112131415161718[[#This Row],[Total]]-Twirling_Solo_Program289101112131415161718[[#This Row],[Low]]-Twirling_Solo_Program289101112131415161718[[#This Row],[High]])</f>
        <v>50</v>
      </c>
      <c r="AB3" s="50">
        <f>AVERAGE(H3,L3,P3,T3)</f>
        <v>25.1</v>
      </c>
      <c r="AC3" s="51">
        <f>Twirling_Solo_Program289101112131415161718[[#This Row],[Final Total]]</f>
        <v>50</v>
      </c>
      <c r="AD3" s="5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f>
        <v>2</v>
      </c>
      <c r="AE3" s="55" t="s">
        <v>48</v>
      </c>
    </row>
  </sheetData>
  <sheetProtection algorithmName="SHA-512" hashValue="3cb+R0dKETUfADOC38sy3hZclXoThzA9ssV7Tlk+VMenauEMG4jSq4Ju1tRH6mcxYejxWuq3lvuJY0Y3GipNxg==" saltValue="rWDfpDCaC1nCBzdO9Zc3/g==" spinCount="100000" sheet="1" objects="1" scenarios="1" formatColumns="0" formatRows="0" autoFilter="0"/>
  <phoneticPr fontId="7" type="noConversion"/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X11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3.5546875" style="43" customWidth="1"/>
    <col min="4" max="4" width="9" style="53" customWidth="1"/>
    <col min="5" max="5" width="18.44140625" style="45" customWidth="1"/>
    <col min="6" max="6" width="52.109375" style="45" customWidth="1"/>
    <col min="7" max="7" width="14" style="45" customWidth="1"/>
    <col min="8" max="9" width="9.21875" style="45" customWidth="1"/>
    <col min="10" max="11" width="9.21875" style="54" customWidth="1"/>
    <col min="12" max="15" width="9.21875" style="54" hidden="1" customWidth="1"/>
    <col min="16" max="19" width="9.21875" style="54" customWidth="1"/>
    <col min="20" max="22" width="9.21875" style="54" hidden="1" customWidth="1"/>
    <col min="23" max="23" width="9.21875" style="45" hidden="1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37</v>
      </c>
      <c r="B2" s="57">
        <v>2</v>
      </c>
      <c r="C2" s="44" t="s">
        <v>62</v>
      </c>
      <c r="D2" s="57" t="s">
        <v>24</v>
      </c>
      <c r="E2" s="57" t="s">
        <v>71</v>
      </c>
      <c r="F2" s="57" t="s">
        <v>25</v>
      </c>
      <c r="G2" s="57" t="s">
        <v>26</v>
      </c>
      <c r="H2" s="46">
        <v>35.9</v>
      </c>
      <c r="I2" s="47">
        <v>0</v>
      </c>
      <c r="J2" s="48">
        <f>Twirling_Solo_Program2891011121314151617181920222324[[#This Row],[Judge 1
Tamara Beljak]]-I2</f>
        <v>35.9</v>
      </c>
      <c r="K2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1</v>
      </c>
      <c r="L2" s="46"/>
      <c r="M2" s="47"/>
      <c r="N2" s="48">
        <f>Twirling_Solo_Program2891011121314151617181920222324[[#This Row],[Judge 2
Tihomir Bendelja]]-Twirling_Solo_Program2891011121314151617181920222324[[#This Row],[J2 (-)]]</f>
        <v>0</v>
      </c>
      <c r="O2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2" s="46">
        <v>37</v>
      </c>
      <c r="Q2" s="47">
        <v>0</v>
      </c>
      <c r="R2" s="48">
        <f>Twirling_Solo_Program2891011121314151617181920222324[[#This Row],[Judge 3
Lucija Ljubičić]]-Q2</f>
        <v>37</v>
      </c>
      <c r="S2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1</v>
      </c>
      <c r="T2" s="46"/>
      <c r="U2" s="47"/>
      <c r="V2" s="48">
        <f>Twirling_Solo_Program2891011121314151617181920222324[[#This Row],[Judge 4
Bernard Barač]]-U2</f>
        <v>0</v>
      </c>
      <c r="W2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2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72.900000000000006</v>
      </c>
      <c r="Y2" s="50"/>
      <c r="Z2" s="50"/>
      <c r="AA2" s="50">
        <f>SUM(Twirling_Solo_Program2891011121314151617181920222324[[#This Row],[Total]]-Twirling_Solo_Program2891011121314151617181920222324[[#This Row],[Low]]-Twirling_Solo_Program2891011121314151617181920222324[[#This Row],[High]])</f>
        <v>72.900000000000006</v>
      </c>
      <c r="AB2" s="59">
        <f t="shared" ref="AB2:AB11" si="0">AVERAGE(H2,L2,P2,T2)</f>
        <v>36.450000000000003</v>
      </c>
      <c r="AC2" s="51">
        <f>Twirling_Solo_Program2891011121314151617181920222324[[#This Row],[Final Total]]</f>
        <v>72.900000000000006</v>
      </c>
      <c r="AD2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1</v>
      </c>
      <c r="AE2" s="61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41</v>
      </c>
      <c r="B3" s="57">
        <v>2</v>
      </c>
      <c r="C3" s="44" t="s">
        <v>62</v>
      </c>
      <c r="D3" s="57" t="s">
        <v>24</v>
      </c>
      <c r="E3" s="57" t="s">
        <v>76</v>
      </c>
      <c r="F3" s="57" t="s">
        <v>77</v>
      </c>
      <c r="G3" s="57" t="s">
        <v>26</v>
      </c>
      <c r="H3" s="46">
        <v>36.700000000000003</v>
      </c>
      <c r="I3" s="47">
        <v>1.5</v>
      </c>
      <c r="J3" s="48">
        <f>Twirling_Solo_Program2891011121314151617181920222324[[#This Row],[Judge 1
Tamara Beljak]]-I3</f>
        <v>35.200000000000003</v>
      </c>
      <c r="K3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2</v>
      </c>
      <c r="L3" s="46"/>
      <c r="M3" s="47"/>
      <c r="N3" s="48">
        <f>Twirling_Solo_Program2891011121314151617181920222324[[#This Row],[Judge 2
Tihomir Bendelja]]-Twirling_Solo_Program2891011121314151617181920222324[[#This Row],[J2 (-)]]</f>
        <v>0</v>
      </c>
      <c r="O3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3" s="46">
        <v>31.5</v>
      </c>
      <c r="Q3" s="47">
        <v>1.5</v>
      </c>
      <c r="R3" s="48">
        <f>Twirling_Solo_Program2891011121314151617181920222324[[#This Row],[Judge 3
Lucija Ljubičić]]-Q3</f>
        <v>30</v>
      </c>
      <c r="S3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2</v>
      </c>
      <c r="T3" s="46"/>
      <c r="U3" s="47"/>
      <c r="V3" s="48">
        <f>Twirling_Solo_Program2891011121314151617181920222324[[#This Row],[Judge 4
Bernard Barač]]-U3</f>
        <v>0</v>
      </c>
      <c r="W3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3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65.2</v>
      </c>
      <c r="Y3" s="50"/>
      <c r="Z3" s="50"/>
      <c r="AA3" s="50">
        <f>SUM(Twirling_Solo_Program2891011121314151617181920222324[[#This Row],[Total]]-Twirling_Solo_Program2891011121314151617181920222324[[#This Row],[Low]]-Twirling_Solo_Program2891011121314151617181920222324[[#This Row],[High]])</f>
        <v>65.2</v>
      </c>
      <c r="AB3" s="59">
        <f t="shared" si="0"/>
        <v>34.1</v>
      </c>
      <c r="AC3" s="51">
        <f>Twirling_Solo_Program2891011121314151617181920222324[[#This Row],[Final Total]]</f>
        <v>65.2</v>
      </c>
      <c r="AD3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2</v>
      </c>
      <c r="AE3" s="61" t="s">
        <v>51</v>
      </c>
    </row>
    <row r="4" spans="1:50" ht="15.6" x14ac:dyDescent="0.3">
      <c r="A4" s="56">
        <v>47</v>
      </c>
      <c r="B4" s="57">
        <v>2</v>
      </c>
      <c r="C4" s="44" t="s">
        <v>62</v>
      </c>
      <c r="D4" s="57" t="s">
        <v>24</v>
      </c>
      <c r="E4" s="57" t="s">
        <v>83</v>
      </c>
      <c r="F4" s="57" t="s">
        <v>77</v>
      </c>
      <c r="G4" s="57" t="s">
        <v>26</v>
      </c>
      <c r="H4" s="46">
        <v>34.299999999999997</v>
      </c>
      <c r="I4" s="47">
        <v>0</v>
      </c>
      <c r="J4" s="48">
        <f>Twirling_Solo_Program2891011121314151617181920222324[[#This Row],[Judge 1
Tamara Beljak]]-I4</f>
        <v>34.299999999999997</v>
      </c>
      <c r="K4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3</v>
      </c>
      <c r="L4" s="46"/>
      <c r="M4" s="47"/>
      <c r="N4" s="48">
        <f>Twirling_Solo_Program2891011121314151617181920222324[[#This Row],[Judge 2
Tihomir Bendelja]]-Twirling_Solo_Program2891011121314151617181920222324[[#This Row],[J2 (-)]]</f>
        <v>0</v>
      </c>
      <c r="O4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4" s="46">
        <v>29.5</v>
      </c>
      <c r="Q4" s="47">
        <v>0</v>
      </c>
      <c r="R4" s="48">
        <f>Twirling_Solo_Program2891011121314151617181920222324[[#This Row],[Judge 3
Lucija Ljubičić]]-Q4</f>
        <v>29.5</v>
      </c>
      <c r="S4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3</v>
      </c>
      <c r="T4" s="46"/>
      <c r="U4" s="47"/>
      <c r="V4" s="48">
        <f>Twirling_Solo_Program2891011121314151617181920222324[[#This Row],[Judge 4
Bernard Barač]]-U4</f>
        <v>0</v>
      </c>
      <c r="W4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4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63.8</v>
      </c>
      <c r="Y4" s="50"/>
      <c r="Z4" s="50"/>
      <c r="AA4" s="50">
        <f>SUM(Twirling_Solo_Program2891011121314151617181920222324[[#This Row],[Total]]-Twirling_Solo_Program2891011121314151617181920222324[[#This Row],[Low]]-Twirling_Solo_Program2891011121314151617181920222324[[#This Row],[High]])</f>
        <v>63.8</v>
      </c>
      <c r="AB4" s="59">
        <f t="shared" si="0"/>
        <v>31.9</v>
      </c>
      <c r="AC4" s="51">
        <f>Twirling_Solo_Program2891011121314151617181920222324[[#This Row],[Final Total]]</f>
        <v>63.8</v>
      </c>
      <c r="AD4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3</v>
      </c>
      <c r="AE4" s="61" t="s">
        <v>51</v>
      </c>
    </row>
    <row r="5" spans="1:50" ht="15.6" x14ac:dyDescent="0.3">
      <c r="A5" s="56">
        <v>39</v>
      </c>
      <c r="B5" s="57">
        <v>2</v>
      </c>
      <c r="C5" s="44" t="s">
        <v>62</v>
      </c>
      <c r="D5" s="57" t="s">
        <v>24</v>
      </c>
      <c r="E5" s="57" t="s">
        <v>74</v>
      </c>
      <c r="F5" s="57" t="s">
        <v>40</v>
      </c>
      <c r="G5" s="57" t="s">
        <v>26</v>
      </c>
      <c r="H5" s="46">
        <v>31</v>
      </c>
      <c r="I5" s="47">
        <v>1</v>
      </c>
      <c r="J5" s="48">
        <f>Twirling_Solo_Program2891011121314151617181920222324[[#This Row],[Judge 1
Tamara Beljak]]-I5</f>
        <v>30</v>
      </c>
      <c r="K5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5</v>
      </c>
      <c r="L5" s="46"/>
      <c r="M5" s="47"/>
      <c r="N5" s="48">
        <f>Twirling_Solo_Program2891011121314151617181920222324[[#This Row],[Judge 2
Tihomir Bendelja]]-Twirling_Solo_Program2891011121314151617181920222324[[#This Row],[J2 (-)]]</f>
        <v>0</v>
      </c>
      <c r="O5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5" s="46">
        <v>30</v>
      </c>
      <c r="Q5" s="47">
        <v>1</v>
      </c>
      <c r="R5" s="48">
        <f>Twirling_Solo_Program2891011121314151617181920222324[[#This Row],[Judge 3
Lucija Ljubičić]]-Q5</f>
        <v>29</v>
      </c>
      <c r="S5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4</v>
      </c>
      <c r="T5" s="46"/>
      <c r="U5" s="47"/>
      <c r="V5" s="48">
        <f>Twirling_Solo_Program2891011121314151617181920222324[[#This Row],[Judge 4
Bernard Barač]]-U5</f>
        <v>0</v>
      </c>
      <c r="W5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5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59</v>
      </c>
      <c r="Y5" s="50"/>
      <c r="Z5" s="50"/>
      <c r="AA5" s="50">
        <f>SUM(Twirling_Solo_Program2891011121314151617181920222324[[#This Row],[Total]]-Twirling_Solo_Program2891011121314151617181920222324[[#This Row],[Low]]-Twirling_Solo_Program2891011121314151617181920222324[[#This Row],[High]])</f>
        <v>59</v>
      </c>
      <c r="AB5" s="59">
        <f t="shared" si="0"/>
        <v>30.5</v>
      </c>
      <c r="AC5" s="51">
        <f>Twirling_Solo_Program2891011121314151617181920222324[[#This Row],[Final Total]]</f>
        <v>59</v>
      </c>
      <c r="AD5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4</v>
      </c>
      <c r="AE5" s="61" t="s">
        <v>51</v>
      </c>
    </row>
    <row r="6" spans="1:50" ht="15.6" x14ac:dyDescent="0.3">
      <c r="A6" s="56">
        <v>43</v>
      </c>
      <c r="B6" s="57">
        <v>2</v>
      </c>
      <c r="C6" s="44" t="s">
        <v>62</v>
      </c>
      <c r="D6" s="57" t="s">
        <v>24</v>
      </c>
      <c r="E6" s="57" t="s">
        <v>79</v>
      </c>
      <c r="F6" s="57" t="s">
        <v>31</v>
      </c>
      <c r="G6" s="57" t="s">
        <v>32</v>
      </c>
      <c r="H6" s="46">
        <v>29.5</v>
      </c>
      <c r="I6" s="47">
        <v>0</v>
      </c>
      <c r="J6" s="48">
        <f>Twirling_Solo_Program2891011121314151617181920222324[[#This Row],[Judge 1
Tamara Beljak]]-I6</f>
        <v>29.5</v>
      </c>
      <c r="K6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7</v>
      </c>
      <c r="L6" s="46"/>
      <c r="M6" s="47"/>
      <c r="N6" s="48">
        <f>Twirling_Solo_Program2891011121314151617181920222324[[#This Row],[Judge 2
Tihomir Bendelja]]-Twirling_Solo_Program2891011121314151617181920222324[[#This Row],[J2 (-)]]</f>
        <v>0</v>
      </c>
      <c r="O6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6" s="46">
        <v>28.5</v>
      </c>
      <c r="Q6" s="47">
        <v>0</v>
      </c>
      <c r="R6" s="48">
        <f>Twirling_Solo_Program2891011121314151617181920222324[[#This Row],[Judge 3
Lucija Ljubičić]]-Q6</f>
        <v>28.5</v>
      </c>
      <c r="S6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5</v>
      </c>
      <c r="T6" s="46"/>
      <c r="U6" s="47"/>
      <c r="V6" s="48">
        <f>Twirling_Solo_Program2891011121314151617181920222324[[#This Row],[Judge 4
Bernard Barač]]-U6</f>
        <v>0</v>
      </c>
      <c r="W6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6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58</v>
      </c>
      <c r="Y6" s="50"/>
      <c r="Z6" s="50"/>
      <c r="AA6" s="50">
        <f>SUM(Twirling_Solo_Program2891011121314151617181920222324[[#This Row],[Total]]-Twirling_Solo_Program2891011121314151617181920222324[[#This Row],[Low]]-Twirling_Solo_Program2891011121314151617181920222324[[#This Row],[High]])</f>
        <v>58</v>
      </c>
      <c r="AB6" s="59">
        <f t="shared" si="0"/>
        <v>29</v>
      </c>
      <c r="AC6" s="51">
        <f>Twirling_Solo_Program2891011121314151617181920222324[[#This Row],[Final Total]]</f>
        <v>58</v>
      </c>
      <c r="AD6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5</v>
      </c>
      <c r="AE6" s="61" t="s">
        <v>51</v>
      </c>
    </row>
    <row r="7" spans="1:50" ht="15.6" x14ac:dyDescent="0.3">
      <c r="A7" s="56">
        <v>51</v>
      </c>
      <c r="B7" s="57">
        <v>2</v>
      </c>
      <c r="C7" s="44" t="s">
        <v>62</v>
      </c>
      <c r="D7" s="57" t="s">
        <v>24</v>
      </c>
      <c r="E7" s="57" t="s">
        <v>87</v>
      </c>
      <c r="F7" s="57" t="s">
        <v>25</v>
      </c>
      <c r="G7" s="57" t="s">
        <v>26</v>
      </c>
      <c r="H7" s="46">
        <v>30.5</v>
      </c>
      <c r="I7" s="47">
        <v>0.5</v>
      </c>
      <c r="J7" s="48">
        <f>Twirling_Solo_Program2891011121314151617181920222324[[#This Row],[Judge 1
Tamara Beljak]]-I7</f>
        <v>30</v>
      </c>
      <c r="K7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5</v>
      </c>
      <c r="L7" s="46"/>
      <c r="M7" s="47"/>
      <c r="N7" s="48">
        <f>Twirling_Solo_Program2891011121314151617181920222324[[#This Row],[Judge 2
Tihomir Bendelja]]-Twirling_Solo_Program2891011121314151617181920222324[[#This Row],[J2 (-)]]</f>
        <v>0</v>
      </c>
      <c r="O7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7" s="46">
        <v>27</v>
      </c>
      <c r="Q7" s="47">
        <v>1</v>
      </c>
      <c r="R7" s="48">
        <f>Twirling_Solo_Program2891011121314151617181920222324[[#This Row],[Judge 3
Lucija Ljubičić]]-Q7</f>
        <v>26</v>
      </c>
      <c r="S7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6</v>
      </c>
      <c r="T7" s="46"/>
      <c r="U7" s="47"/>
      <c r="V7" s="48">
        <f>Twirling_Solo_Program2891011121314151617181920222324[[#This Row],[Judge 4
Bernard Barač]]-U7</f>
        <v>0</v>
      </c>
      <c r="W7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7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56</v>
      </c>
      <c r="Y7" s="50"/>
      <c r="Z7" s="50"/>
      <c r="AA7" s="50">
        <f>SUM(Twirling_Solo_Program2891011121314151617181920222324[[#This Row],[Total]]-Twirling_Solo_Program2891011121314151617181920222324[[#This Row],[Low]]-Twirling_Solo_Program2891011121314151617181920222324[[#This Row],[High]])</f>
        <v>56</v>
      </c>
      <c r="AB7" s="59">
        <f t="shared" si="0"/>
        <v>28.75</v>
      </c>
      <c r="AC7" s="51">
        <f>Twirling_Solo_Program2891011121314151617181920222324[[#This Row],[Final Total]]</f>
        <v>56</v>
      </c>
      <c r="AD7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6</v>
      </c>
      <c r="AE7" s="61" t="s">
        <v>51</v>
      </c>
    </row>
    <row r="8" spans="1:50" ht="15.6" x14ac:dyDescent="0.3">
      <c r="A8" s="61">
        <v>35</v>
      </c>
      <c r="B8" s="44">
        <v>2</v>
      </c>
      <c r="C8" s="44" t="s">
        <v>62</v>
      </c>
      <c r="D8" s="44" t="s">
        <v>24</v>
      </c>
      <c r="E8" s="44" t="s">
        <v>69</v>
      </c>
      <c r="F8" s="44" t="s">
        <v>56</v>
      </c>
      <c r="G8" s="44" t="s">
        <v>26</v>
      </c>
      <c r="H8" s="46">
        <v>26.5</v>
      </c>
      <c r="I8" s="47">
        <v>0.5</v>
      </c>
      <c r="J8" s="48">
        <f>Twirling_Solo_Program2891011121314151617181920222324[[#This Row],[Judge 1
Tamara Beljak]]-I8</f>
        <v>26</v>
      </c>
      <c r="K8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8</v>
      </c>
      <c r="L8" s="46"/>
      <c r="M8" s="47"/>
      <c r="N8" s="48">
        <f>Twirling_Solo_Program2891011121314151617181920222324[[#This Row],[Judge 2
Tihomir Bendelja]]-Twirling_Solo_Program2891011121314151617181920222324[[#This Row],[J2 (-)]]</f>
        <v>0</v>
      </c>
      <c r="O8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8" s="46">
        <v>26</v>
      </c>
      <c r="Q8" s="47">
        <v>0.5</v>
      </c>
      <c r="R8" s="48">
        <f>Twirling_Solo_Program2891011121314151617181920222324[[#This Row],[Judge 3
Lucija Ljubičić]]-Q8</f>
        <v>25.5</v>
      </c>
      <c r="S8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7</v>
      </c>
      <c r="T8" s="46"/>
      <c r="U8" s="47"/>
      <c r="V8" s="48">
        <f>Twirling_Solo_Program2891011121314151617181920222324[[#This Row],[Judge 4
Bernard Barač]]-U8</f>
        <v>0</v>
      </c>
      <c r="W8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8" s="50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51.5</v>
      </c>
      <c r="Y8" s="50"/>
      <c r="Z8" s="50"/>
      <c r="AA8" s="50">
        <f>SUM(Twirling_Solo_Program2891011121314151617181920222324[[#This Row],[Total]]-Twirling_Solo_Program2891011121314151617181920222324[[#This Row],[Low]]-Twirling_Solo_Program2891011121314151617181920222324[[#This Row],[High]])</f>
        <v>51.5</v>
      </c>
      <c r="AB8" s="50">
        <f t="shared" si="0"/>
        <v>26.25</v>
      </c>
      <c r="AC8" s="51">
        <f>Twirling_Solo_Program2891011121314151617181920222324[[#This Row],[Final Total]]</f>
        <v>51.5</v>
      </c>
      <c r="AD8" s="52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7</v>
      </c>
      <c r="AE8" s="55" t="s">
        <v>51</v>
      </c>
    </row>
    <row r="9" spans="1:50" ht="15.6" x14ac:dyDescent="0.3">
      <c r="A9" s="56">
        <v>49</v>
      </c>
      <c r="B9" s="57">
        <v>2</v>
      </c>
      <c r="C9" s="44" t="s">
        <v>62</v>
      </c>
      <c r="D9" s="57" t="s">
        <v>24</v>
      </c>
      <c r="E9" s="57" t="s">
        <v>85</v>
      </c>
      <c r="F9" s="57" t="s">
        <v>25</v>
      </c>
      <c r="G9" s="57" t="s">
        <v>26</v>
      </c>
      <c r="H9" s="46">
        <v>35.200000000000003</v>
      </c>
      <c r="I9" s="47">
        <v>1</v>
      </c>
      <c r="J9" s="48">
        <f>Twirling_Solo_Program2891011121314151617181920222324[[#This Row],[Judge 1
Tamara Beljak]]-I9</f>
        <v>34.200000000000003</v>
      </c>
      <c r="K9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4</v>
      </c>
      <c r="L9" s="46"/>
      <c r="M9" s="47"/>
      <c r="N9" s="48">
        <f>Twirling_Solo_Program2891011121314151617181920222324[[#This Row],[Judge 2
Tihomir Bendelja]]-Twirling_Solo_Program2891011121314151617181920222324[[#This Row],[J2 (-)]]</f>
        <v>0</v>
      </c>
      <c r="O9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9" s="46">
        <v>17.5</v>
      </c>
      <c r="Q9" s="47">
        <v>1</v>
      </c>
      <c r="R9" s="48">
        <f>Twirling_Solo_Program2891011121314151617181920222324[[#This Row],[Judge 3
Lucija Ljubičić]]-Q9</f>
        <v>16.5</v>
      </c>
      <c r="S9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8</v>
      </c>
      <c r="T9" s="46"/>
      <c r="U9" s="47"/>
      <c r="V9" s="48">
        <f>Twirling_Solo_Program2891011121314151617181920222324[[#This Row],[Judge 4
Bernard Barač]]-U9</f>
        <v>0</v>
      </c>
      <c r="W9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9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50.7</v>
      </c>
      <c r="Y9" s="50"/>
      <c r="Z9" s="50"/>
      <c r="AA9" s="50">
        <f>SUM(Twirling_Solo_Program2891011121314151617181920222324[[#This Row],[Total]]-Twirling_Solo_Program2891011121314151617181920222324[[#This Row],[Low]]-Twirling_Solo_Program2891011121314151617181920222324[[#This Row],[High]])</f>
        <v>50.7</v>
      </c>
      <c r="AB9" s="59">
        <f t="shared" si="0"/>
        <v>26.35</v>
      </c>
      <c r="AC9" s="51">
        <f>Twirling_Solo_Program2891011121314151617181920222324[[#This Row],[Final Total]]</f>
        <v>50.7</v>
      </c>
      <c r="AD9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8</v>
      </c>
      <c r="AE9" s="61" t="s">
        <v>51</v>
      </c>
    </row>
    <row r="10" spans="1:50" ht="15.6" x14ac:dyDescent="0.3">
      <c r="A10" s="56">
        <v>53</v>
      </c>
      <c r="B10" s="57">
        <v>2</v>
      </c>
      <c r="C10" s="44" t="s">
        <v>62</v>
      </c>
      <c r="D10" s="57" t="s">
        <v>24</v>
      </c>
      <c r="E10" s="57" t="s">
        <v>89</v>
      </c>
      <c r="F10" s="57" t="s">
        <v>31</v>
      </c>
      <c r="G10" s="57" t="s">
        <v>32</v>
      </c>
      <c r="H10" s="46">
        <v>21</v>
      </c>
      <c r="I10" s="47">
        <v>1</v>
      </c>
      <c r="J10" s="48">
        <f>Twirling_Solo_Program2891011121314151617181920222324[[#This Row],[Judge 1
Tamara Beljak]]-I10</f>
        <v>20</v>
      </c>
      <c r="K10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9</v>
      </c>
      <c r="L10" s="46"/>
      <c r="M10" s="47"/>
      <c r="N10" s="48">
        <f>Twirling_Solo_Program2891011121314151617181920222324[[#This Row],[Judge 2
Tihomir Bendelja]]-Twirling_Solo_Program2891011121314151617181920222324[[#This Row],[J2 (-)]]</f>
        <v>0</v>
      </c>
      <c r="O10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10" s="46">
        <v>17</v>
      </c>
      <c r="Q10" s="47">
        <v>1</v>
      </c>
      <c r="R10" s="48">
        <f>Twirling_Solo_Program2891011121314151617181920222324[[#This Row],[Judge 3
Lucija Ljubičić]]-Q10</f>
        <v>16</v>
      </c>
      <c r="S10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9</v>
      </c>
      <c r="T10" s="46"/>
      <c r="U10" s="47"/>
      <c r="V10" s="48">
        <f>Twirling_Solo_Program2891011121314151617181920222324[[#This Row],[Judge 4
Bernard Barač]]-U10</f>
        <v>0</v>
      </c>
      <c r="W10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10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36</v>
      </c>
      <c r="Y10" s="50"/>
      <c r="Z10" s="50"/>
      <c r="AA10" s="50">
        <f>SUM(Twirling_Solo_Program2891011121314151617181920222324[[#This Row],[Total]]-Twirling_Solo_Program2891011121314151617181920222324[[#This Row],[Low]]-Twirling_Solo_Program2891011121314151617181920222324[[#This Row],[High]])</f>
        <v>36</v>
      </c>
      <c r="AB10" s="59">
        <f t="shared" si="0"/>
        <v>19</v>
      </c>
      <c r="AC10" s="51">
        <f>Twirling_Solo_Program2891011121314151617181920222324[[#This Row],[Final Total]]</f>
        <v>36</v>
      </c>
      <c r="AD10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9</v>
      </c>
      <c r="AE10" s="61" t="s">
        <v>51</v>
      </c>
    </row>
    <row r="11" spans="1:50" ht="15.6" x14ac:dyDescent="0.3">
      <c r="A11" s="56">
        <v>45</v>
      </c>
      <c r="B11" s="57">
        <v>2</v>
      </c>
      <c r="C11" s="44" t="s">
        <v>62</v>
      </c>
      <c r="D11" s="57" t="s">
        <v>24</v>
      </c>
      <c r="E11" s="57" t="s">
        <v>81</v>
      </c>
      <c r="F11" s="57" t="s">
        <v>40</v>
      </c>
      <c r="G11" s="57" t="s">
        <v>26</v>
      </c>
      <c r="H11" s="46">
        <v>18</v>
      </c>
      <c r="I11" s="47">
        <v>1</v>
      </c>
      <c r="J11" s="48">
        <f>Twirling_Solo_Program2891011121314151617181920222324[[#This Row],[Judge 1
Tamara Beljak]]-I11</f>
        <v>17</v>
      </c>
      <c r="K11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Row],[Category]],Twirling_Solo_Program2891011121314151617181920222324[J1 TOTAL],"&gt;"&amp;Twirling_Solo_Program2891011121314151617181920222324[[#This Row],[J1 TOTAL]])+1</f>
        <v>10</v>
      </c>
      <c r="L11" s="46"/>
      <c r="M11" s="47"/>
      <c r="N11" s="48">
        <f>Twirling_Solo_Program2891011121314151617181920222324[[#This Row],[Judge 2
Tihomir Bendelja]]-Twirling_Solo_Program2891011121314151617181920222324[[#This Row],[J2 (-)]]</f>
        <v>0</v>
      </c>
      <c r="O11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Row],[Category]],Twirling_Solo_Program2891011121314151617181920222324[J2 TOTAL],"&gt;"&amp;Twirling_Solo_Program2891011121314151617181920222324[[#This Row],[J2 TOTAL]])+1</f>
        <v>1</v>
      </c>
      <c r="P11" s="46">
        <v>15.5</v>
      </c>
      <c r="Q11" s="47">
        <v>1</v>
      </c>
      <c r="R11" s="48">
        <f>Twirling_Solo_Program2891011121314151617181920222324[[#This Row],[Judge 3
Lucija Ljubičić]]-Q11</f>
        <v>14.5</v>
      </c>
      <c r="S11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Row],[Category]],Twirling_Solo_Program2891011121314151617181920222324[J3 TOTAL],"&gt;"&amp;Twirling_Solo_Program2891011121314151617181920222324[[#This Row],[J3 TOTAL]])+1</f>
        <v>10</v>
      </c>
      <c r="T11" s="46"/>
      <c r="U11" s="47"/>
      <c r="V11" s="48">
        <f>Twirling_Solo_Program2891011121314151617181920222324[[#This Row],[Judge 4
Bernard Barač]]-U11</f>
        <v>0</v>
      </c>
      <c r="W11" s="49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Row],[Category]],Twirling_Solo_Program2891011121314151617181920222324[J4 TOTAL],"&gt;"&amp;Twirling_Solo_Program2891011121314151617181920222324[[#This Row],[J4 TOTAL]])+1</f>
        <v>1</v>
      </c>
      <c r="X11" s="62">
        <f>SUM(Twirling_Solo_Program2891011121314151617181920222324[[#This Row],[J1 TOTAL]]+Twirling_Solo_Program2891011121314151617181920222324[[#This Row],[J2 TOTAL]]+Twirling_Solo_Program2891011121314151617181920222324[[#This Row],[J3 TOTAL]]+Twirling_Solo_Program2891011121314151617181920222324[[#This Row],[J4 TOTAL]])</f>
        <v>31.5</v>
      </c>
      <c r="Y11" s="50"/>
      <c r="Z11" s="50"/>
      <c r="AA11" s="50">
        <f>SUM(Twirling_Solo_Program2891011121314151617181920222324[[#This Row],[Total]]-Twirling_Solo_Program2891011121314151617181920222324[[#This Row],[Low]]-Twirling_Solo_Program2891011121314151617181920222324[[#This Row],[High]])</f>
        <v>31.5</v>
      </c>
      <c r="AB11" s="59">
        <f t="shared" si="0"/>
        <v>16.75</v>
      </c>
      <c r="AC11" s="51">
        <f>Twirling_Solo_Program2891011121314151617181920222324[[#This Row],[Final Total]]</f>
        <v>31.5</v>
      </c>
      <c r="AD11" s="60">
        <f>COUNTIFS(Twirling_Solo_Program2891011121314151617181920222324[Age
Division],Twirling_Solo_Program2891011121314151617181920222324[[#This Row],[Age
Division]],Twirling_Solo_Program2891011121314151617181920222324[Category],Twirling_Solo_Program2891011121314151617181920222324[[#This Row],[Category]],Twirling_Solo_Program2891011121314151617181920222324[FINAL SCORE],"&gt;"&amp;Twirling_Solo_Program2891011121314151617181920222324[[#This Row],[FINAL SCORE]])+1</f>
        <v>10</v>
      </c>
      <c r="AE11" s="61" t="s">
        <v>51</v>
      </c>
    </row>
  </sheetData>
  <sheetProtection algorithmName="SHA-512" hashValue="/1RX1qoGCh3i/kpmSb/lbQIidqwWRZR7eqSChjDLIY9QlaY8Nw05vEBpxSWP5nho1atkIbeLpzGuOX3UxQAf6w==" saltValue="bVWzqvIdNy/KQ6J8bMtX/A==" spinCount="100000" sheet="1" objects="1" scenarios="1" formatColumns="0" formatRows="0" autoFilter="0"/>
  <phoneticPr fontId="7" type="noConversion"/>
  <pageMargins left="0.7" right="0.7" top="0.75" bottom="0.75" header="0.3" footer="0.3"/>
  <pageSetup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77734375" style="43" customWidth="1"/>
    <col min="3" max="3" width="14.88671875" style="43" bestFit="1" customWidth="1"/>
    <col min="4" max="4" width="9.33203125" style="53" customWidth="1"/>
    <col min="5" max="5" width="30.6640625" style="45" customWidth="1"/>
    <col min="6" max="6" width="49.5546875" style="45" bestFit="1" customWidth="1"/>
    <col min="7" max="7" width="15" style="45" customWidth="1"/>
    <col min="8" max="9" width="9.21875" style="45" customWidth="1"/>
    <col min="10" max="11" width="9.21875" style="54" customWidth="1"/>
    <col min="12" max="15" width="9.21875" style="54" hidden="1" customWidth="1"/>
    <col min="16" max="19" width="9.21875" style="54" customWidth="1"/>
    <col min="20" max="22" width="9.21875" style="54" hidden="1" customWidth="1"/>
    <col min="23" max="23" width="9.21875" style="45" hidden="1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86</v>
      </c>
      <c r="B2" s="64">
        <v>2</v>
      </c>
      <c r="C2" s="44" t="s">
        <v>45</v>
      </c>
      <c r="D2" s="44" t="s">
        <v>28</v>
      </c>
      <c r="E2" s="44" t="s">
        <v>122</v>
      </c>
      <c r="F2" s="44" t="s">
        <v>31</v>
      </c>
      <c r="G2" s="44" t="s">
        <v>32</v>
      </c>
      <c r="H2" s="46">
        <v>25.5</v>
      </c>
      <c r="I2" s="47">
        <v>0</v>
      </c>
      <c r="J2" s="48">
        <f>Twirling_Solo_Program289101112131415161718192022232425262728293031343536[[#This Row],[Judge 1
Tamara Beljak]]-I2</f>
        <v>25.5</v>
      </c>
      <c r="K2" s="49">
        <f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Row],[Category]],Twirling_Solo_Program289101112131415161718192022232425262728293031343536[J1 TOTAL],"&gt;"&amp;Twirling_Solo_Program289101112131415161718192022232425262728293031343536[[#This Row],[J1 TOTAL]])+1</f>
        <v>1</v>
      </c>
      <c r="L2" s="46"/>
      <c r="M2" s="47"/>
      <c r="N2" s="48">
        <f>Twirling_Solo_Program289101112131415161718192022232425262728293031343536[[#This Row],[Judge 2
Tihomir Bendelja]]-Twirling_Solo_Program289101112131415161718192022232425262728293031343536[[#This Row],[J2 (-)]]</f>
        <v>0</v>
      </c>
      <c r="O2" s="49">
        <f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Row],[Category]],Twirling_Solo_Program289101112131415161718192022232425262728293031343536[J2 TOTAL],"&gt;"&amp;Twirling_Solo_Program289101112131415161718192022232425262728293031343536[[#This Row],[J2 TOTAL]])+1</f>
        <v>1</v>
      </c>
      <c r="P2" s="46">
        <v>25</v>
      </c>
      <c r="Q2" s="47">
        <v>0.4</v>
      </c>
      <c r="R2" s="48">
        <f>Twirling_Solo_Program289101112131415161718192022232425262728293031343536[[#This Row],[Judge 3
Lucija Ljubičić]]-Q2</f>
        <v>24.6</v>
      </c>
      <c r="S2" s="49">
        <f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Row],[Category]],Twirling_Solo_Program289101112131415161718192022232425262728293031343536[J3 TOTAL],"&gt;"&amp;Twirling_Solo_Program289101112131415161718192022232425262728293031343536[[#This Row],[J3 TOTAL]])+1</f>
        <v>1</v>
      </c>
      <c r="T2" s="46"/>
      <c r="U2" s="47"/>
      <c r="V2" s="48">
        <f>Twirling_Solo_Program289101112131415161718192022232425262728293031343536[[#This Row],[Judge 4
Bernard Barač]]-U2</f>
        <v>0</v>
      </c>
      <c r="W2" s="49">
        <f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Row],[Category]],Twirling_Solo_Program289101112131415161718192022232425262728293031343536[J4 TOTAL],"&gt;"&amp;Twirling_Solo_Program289101112131415161718192022232425262728293031343536[[#This Row],[J4 TOTAL]])+1</f>
        <v>1</v>
      </c>
      <c r="X2" s="50">
        <f>SUM(Twirling_Solo_Program289101112131415161718192022232425262728293031343536[[#This Row],[J1 TOTAL]]+Twirling_Solo_Program289101112131415161718192022232425262728293031343536[[#This Row],[J2 TOTAL]]+Twirling_Solo_Program289101112131415161718192022232425262728293031343536[[#This Row],[J3 TOTAL]]+Twirling_Solo_Program289101112131415161718192022232425262728293031343536[[#This Row],[J4 TOTAL]])</f>
        <v>50.1</v>
      </c>
      <c r="Y2" s="50"/>
      <c r="Z2" s="50"/>
      <c r="AA2" s="50">
        <f>Twirling_Solo_Program289101112131415161718192022232425262728293031343536[[#This Row],[Total]]</f>
        <v>50.1</v>
      </c>
      <c r="AB2" s="50">
        <f>AVERAGE(H2,L2,P2,T2)</f>
        <v>25.25</v>
      </c>
      <c r="AC2" s="51">
        <f>Twirling_Solo_Program289101112131415161718192022232425262728293031343536[[#This Row],[Final Total]]</f>
        <v>50.1</v>
      </c>
      <c r="AD2" s="52">
        <f>COUNTIFS(Twirling_Solo_Program289101112131415161718192022232425262728293031343536[Age
Division],Twirling_Solo_Program289101112131415161718192022232425262728293031343536[[#This Row],[Age
Division]],Twirling_Solo_Program289101112131415161718192022232425262728293031343536[Category],Twirling_Solo_Program289101112131415161718192022232425262728293031343536[[#This Row],[Category]],Twirling_Solo_Program289101112131415161718192022232425262728293031343536[FINAL SCORE],"&gt;"&amp;Twirling_Solo_Program289101112131415161718192022232425262728293031343536[[#This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NKUqWWCeBZtuLTxsFgiV9+fkM6a/eZqTHkZxRuWEr8iwsY0h0gI1iciaBRHjDoGFYVgRvHSu1JbzgSRiwFHCHQ==" saltValue="/zmR4tG5VvGFUYWgxnHAr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5.44140625" style="43" customWidth="1"/>
    <col min="4" max="4" width="12.21875" style="53" customWidth="1"/>
    <col min="5" max="5" width="21.109375" style="45" customWidth="1"/>
    <col min="6" max="6" width="40.33203125" style="45" customWidth="1"/>
    <col min="7" max="7" width="14" style="45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28</v>
      </c>
      <c r="B2" s="44">
        <v>1</v>
      </c>
      <c r="C2" s="44" t="s">
        <v>45</v>
      </c>
      <c r="D2" s="44" t="s">
        <v>33</v>
      </c>
      <c r="E2" s="44" t="s">
        <v>60</v>
      </c>
      <c r="F2" s="44" t="s">
        <v>56</v>
      </c>
      <c r="G2" s="45" t="s">
        <v>26</v>
      </c>
      <c r="H2" s="46"/>
      <c r="I2" s="47"/>
      <c r="J2" s="48">
        <f>Twirling_Solo_Program289101112131415161718192022[[#This Row],[Judge 1
Tamara Beljak]]-I2</f>
        <v>0</v>
      </c>
      <c r="K2" s="49">
        <f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Row],[Category]],Twirling_Solo_Program289101112131415161718192022[J1 TOTAL],"&gt;"&amp;Twirling_Solo_Program289101112131415161718192022[[#This Row],[J1 TOTAL]])+1</f>
        <v>1</v>
      </c>
      <c r="L2" s="46">
        <v>39.4</v>
      </c>
      <c r="M2" s="47">
        <v>0.5</v>
      </c>
      <c r="N2" s="48">
        <f>Twirling_Solo_Program289101112131415161718192022[[#This Row],[Judge 2
Tihomir Bendelja]]-Twirling_Solo_Program289101112131415161718192022[[#This Row],[J2 (-)]]</f>
        <v>38.9</v>
      </c>
      <c r="O2" s="49">
        <f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Row],[Category]],Twirling_Solo_Program289101112131415161718192022[J2 TOTAL],"&gt;"&amp;Twirling_Solo_Program289101112131415161718192022[[#This Row],[J2 TOTAL]])+1</f>
        <v>1</v>
      </c>
      <c r="P2" s="46"/>
      <c r="Q2" s="47"/>
      <c r="R2" s="48">
        <f>Twirling_Solo_Program289101112131415161718192022[[#This Row],[Judge 3
Lucija Ljubičić]]-Q2</f>
        <v>0</v>
      </c>
      <c r="S2" s="49">
        <f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Row],[Category]],Twirling_Solo_Program289101112131415161718192022[J3 TOTAL],"&gt;"&amp;Twirling_Solo_Program289101112131415161718192022[[#This Row],[J3 TOTAL]])+1</f>
        <v>1</v>
      </c>
      <c r="T2" s="46">
        <v>40.4</v>
      </c>
      <c r="U2" s="47">
        <v>0.5</v>
      </c>
      <c r="V2" s="48">
        <f>Twirling_Solo_Program289101112131415161718192022[[#This Row],[Judge 4
Bernard Barač]]-U2</f>
        <v>39.9</v>
      </c>
      <c r="W2" s="49">
        <f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Row],[Category]],Twirling_Solo_Program289101112131415161718192022[J4 TOTAL],"&gt;"&amp;Twirling_Solo_Program289101112131415161718192022[[#This Row],[J4 TOTAL]])+1</f>
        <v>1</v>
      </c>
      <c r="X2" s="50">
        <f>SUM(Twirling_Solo_Program289101112131415161718192022[[#This Row],[J1 TOTAL]]+Twirling_Solo_Program289101112131415161718192022[[#This Row],[J2 TOTAL]]+Twirling_Solo_Program289101112131415161718192022[[#This Row],[J3 TOTAL]]+Twirling_Solo_Program289101112131415161718192022[[#This Row],[J4 TOTAL]])</f>
        <v>78.8</v>
      </c>
      <c r="Y2" s="50"/>
      <c r="Z2" s="50"/>
      <c r="AA2" s="50">
        <f>SUM(Twirling_Solo_Program289101112131415161718192022[[#This Row],[Total]]-Twirling_Solo_Program289101112131415161718192022[[#This Row],[Low]]-Twirling_Solo_Program289101112131415161718192022[[#This Row],[High]])</f>
        <v>78.8</v>
      </c>
      <c r="AB2" s="50">
        <f>AVERAGE(H2,L2,P2,T2)</f>
        <v>39.9</v>
      </c>
      <c r="AC2" s="51">
        <f>Twirling_Solo_Program289101112131415161718192022[[#This Row],[Final Total]]</f>
        <v>78.8</v>
      </c>
      <c r="AD2" s="52">
        <f>COUNTIFS(Twirling_Solo_Program289101112131415161718192022[Age
Division],Twirling_Solo_Program289101112131415161718192022[[#This Row],[Age
Division]],Twirling_Solo_Program289101112131415161718192022[Category],Twirling_Solo_Program289101112131415161718192022[[#This Row],[Category]],Twirling_Solo_Program289101112131415161718192022[FINAL SCORE],"&gt;"&amp;Twirling_Solo_Program289101112131415161718192022[[#This Row],[FINAL SCORE]])+1</f>
        <v>1</v>
      </c>
      <c r="AE2" s="55" t="s">
        <v>48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FT0u+TsODtSIoucUaZvueXWk/QLNSQi2O7mvqv/9oZ1U777o6jbRuSTUlzdCfdhnfcZupqggAHaemb7PpIRhdg==" saltValue="97GKGu/wgDB12NFn7B+MI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7.21875" style="43" customWidth="1"/>
    <col min="4" max="4" width="6.77734375" style="53" customWidth="1"/>
    <col min="5" max="5" width="40.77734375" style="45" hidden="1" customWidth="1"/>
    <col min="6" max="6" width="26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43">
        <v>5</v>
      </c>
      <c r="C2" s="44" t="s">
        <v>34</v>
      </c>
      <c r="D2" s="44" t="s">
        <v>35</v>
      </c>
      <c r="E2" s="44"/>
      <c r="F2" s="44" t="s">
        <v>29</v>
      </c>
      <c r="G2" s="45" t="s">
        <v>30</v>
      </c>
      <c r="H2" s="46">
        <v>63</v>
      </c>
      <c r="I2" s="47">
        <v>0.5</v>
      </c>
      <c r="J2" s="48">
        <f>Twirling_Solo_Program289[[#This Row],[Judge 1
Tamara Beljak]]-I2</f>
        <v>62.5</v>
      </c>
      <c r="K2" s="49">
        <f>COUNTIFS(Twirling_Solo_Program289[Age
Division],Twirling_Solo_Program289[[#This Row],[Age
Division]],Twirling_Solo_Program289[Category],Twirling_Solo_Program289[[#This Row],[Category]],Twirling_Solo_Program289[J1 TOTAL],"&gt;"&amp;Twirling_Solo_Program289[[#This Row],[J1 TOTAL]])+1</f>
        <v>1</v>
      </c>
      <c r="L2" s="46">
        <v>60.8</v>
      </c>
      <c r="M2" s="47">
        <v>0.5</v>
      </c>
      <c r="N2" s="48">
        <f>Twirling_Solo_Program289[[#This Row],[Judge 2
Tihomir Bendelja]]-Twirling_Solo_Program289[[#This Row],[J2 (-)]]</f>
        <v>60.3</v>
      </c>
      <c r="O2" s="49">
        <f>COUNTIFS(Twirling_Solo_Program289[Age
Division],Twirling_Solo_Program289[[#This Row],[Age
Division]],Twirling_Solo_Program289[Category],Twirling_Solo_Program289[[#This Row],[Category]],Twirling_Solo_Program289[J2 TOTAL],"&gt;"&amp;Twirling_Solo_Program289[[#This Row],[J2 TOTAL]])+1</f>
        <v>1</v>
      </c>
      <c r="P2" s="46">
        <v>65</v>
      </c>
      <c r="Q2" s="47">
        <v>0.5</v>
      </c>
      <c r="R2" s="48">
        <f>Twirling_Solo_Program289[[#This Row],[Judge 3
Lucija Ljubičić]]-Q2</f>
        <v>64.5</v>
      </c>
      <c r="S2" s="49">
        <f>COUNTIFS(Twirling_Solo_Program289[Age
Division],Twirling_Solo_Program289[[#This Row],[Age
Division]],Twirling_Solo_Program289[Category],Twirling_Solo_Program289[[#This Row],[Category]],Twirling_Solo_Program289[J3 TOTAL],"&gt;"&amp;Twirling_Solo_Program289[[#This Row],[J3 TOTAL]])+1</f>
        <v>1</v>
      </c>
      <c r="T2" s="46">
        <v>61</v>
      </c>
      <c r="U2" s="47">
        <v>0</v>
      </c>
      <c r="V2" s="48">
        <f>Twirling_Solo_Program289[[#This Row],[Judge 4
Bernard Barač]]-U2</f>
        <v>61</v>
      </c>
      <c r="W2" s="49">
        <f>COUNTIFS(Twirling_Solo_Program289[Age
Division],Twirling_Solo_Program289[[#This Row],[Age
Division]],Twirling_Solo_Program289[Category],Twirling_Solo_Program289[[#This Row],[Category]],Twirling_Solo_Program289[J4 TOTAL],"&gt;"&amp;Twirling_Solo_Program289[[#This Row],[J4 TOTAL]])+1</f>
        <v>1</v>
      </c>
      <c r="X2" s="50">
        <f>SUM(Twirling_Solo_Program289[[#This Row],[J1 TOTAL]]+Twirling_Solo_Program289[[#This Row],[J2 TOTAL]]+Twirling_Solo_Program289[[#This Row],[J3 TOTAL]]+Twirling_Solo_Program289[[#This Row],[J4 TOTAL]])</f>
        <v>248.3</v>
      </c>
      <c r="Y2" s="50">
        <f>MIN(Twirling_Solo_Program289[[#This Row],[J1 TOTAL]],Twirling_Solo_Program289[[#This Row],[J2 TOTAL]],Twirling_Solo_Program289[[#This Row],[J3 TOTAL]],Twirling_Solo_Program289[[#This Row],[J4 TOTAL]])</f>
        <v>60.3</v>
      </c>
      <c r="Z2" s="50">
        <f>MAX(Twirling_Solo_Program289[[#This Row],[J1 TOTAL]],Twirling_Solo_Program289[[#This Row],[J2 TOTAL]],Twirling_Solo_Program289[[#This Row],[J3 TOTAL]],Twirling_Solo_Program289[[#This Row],[J4 TOTAL]])</f>
        <v>64.5</v>
      </c>
      <c r="AA2" s="50">
        <f>SUM(Twirling_Solo_Program289[[#This Row],[Total]]-Twirling_Solo_Program289[[#This Row],[Low]]-Twirling_Solo_Program289[[#This Row],[High]])</f>
        <v>123.5</v>
      </c>
      <c r="AB2" s="50">
        <f>AVERAGE(H2,L2,P2,T2)</f>
        <v>62.45</v>
      </c>
      <c r="AC2" s="51">
        <f>Twirling_Solo_Program289[[#This Row],[Final Total]]</f>
        <v>123.5</v>
      </c>
      <c r="AD2" s="52">
        <f>COUNTIFS(Twirling_Solo_Program289[Age
Division],Twirling_Solo_Program289[[#This Row],[Age
Division]],Twirling_Solo_Program289[Category],Twirling_Solo_Program289[[#This Row],[Category]],Twirling_Solo_Program289[FINAL SCORE],"&gt;"&amp;Twirling_Solo_Program289[[#This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x14ac:dyDescent="0.3">
      <c r="X3" s="45"/>
    </row>
  </sheetData>
  <sheetProtection algorithmName="SHA-512" hashValue="F7HEqxLFDged6Zps8ZnnMfSgl5K5zGRWhzQ4SQa+VHn4j6kxSInU+Yl9xdUbu9le0TmTxUGEaShKEeOHMzPlQg==" saltValue="dScVTWgT2Vflk+iXdFiCS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4.88671875" style="43" customWidth="1"/>
    <col min="4" max="4" width="10.5546875" style="53" customWidth="1"/>
    <col min="5" max="5" width="40.77734375" style="45" hidden="1" customWidth="1"/>
    <col min="6" max="6" width="40.554687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7</v>
      </c>
      <c r="B2" s="57"/>
      <c r="C2" s="44" t="s">
        <v>34</v>
      </c>
      <c r="D2" s="57" t="s">
        <v>36</v>
      </c>
      <c r="E2" s="57"/>
      <c r="F2" s="57" t="s">
        <v>37</v>
      </c>
      <c r="G2" s="58" t="s">
        <v>30</v>
      </c>
      <c r="H2" s="46">
        <v>82.3</v>
      </c>
      <c r="I2" s="47">
        <v>0.5</v>
      </c>
      <c r="J2" s="48">
        <f>Twirling_Solo_Program28910[[#This Row],[Judge 1
Tamara Beljak]]-I2</f>
        <v>81.8</v>
      </c>
      <c r="K2" s="49">
        <f>COUNTIFS(Twirling_Solo_Program28910[Age
Division],Twirling_Solo_Program28910[[#This Row],[Age
Division]],Twirling_Solo_Program28910[Category],Twirling_Solo_Program28910[[#This Row],[Category]],Twirling_Solo_Program28910[J1 TOTAL],"&gt;"&amp;Twirling_Solo_Program28910[[#This Row],[J1 TOTAL]])+1</f>
        <v>1</v>
      </c>
      <c r="L2" s="46">
        <v>82.4</v>
      </c>
      <c r="M2" s="47">
        <v>0</v>
      </c>
      <c r="N2" s="48">
        <f>Twirling_Solo_Program28910[[#This Row],[Judge 2
Tihomir Bendelja]]-Twirling_Solo_Program28910[[#This Row],[J2 (-)]]</f>
        <v>82.4</v>
      </c>
      <c r="O2" s="49">
        <f>COUNTIFS(Twirling_Solo_Program28910[Age
Division],Twirling_Solo_Program28910[[#This Row],[Age
Division]],Twirling_Solo_Program28910[Category],Twirling_Solo_Program28910[[#This Row],[Category]],Twirling_Solo_Program28910[J2 TOTAL],"&gt;"&amp;Twirling_Solo_Program28910[[#This Row],[J2 TOTAL]])+1</f>
        <v>1</v>
      </c>
      <c r="P2" s="46">
        <v>80.5</v>
      </c>
      <c r="Q2" s="47">
        <v>0.3</v>
      </c>
      <c r="R2" s="48">
        <f>Twirling_Solo_Program28910[[#This Row],[Judge 3
Lucija Ljubičić]]-Q2</f>
        <v>80.2</v>
      </c>
      <c r="S2" s="49">
        <f>COUNTIFS(Twirling_Solo_Program28910[Age
Division],Twirling_Solo_Program28910[[#This Row],[Age
Division]],Twirling_Solo_Program28910[Category],Twirling_Solo_Program28910[[#This Row],[Category]],Twirling_Solo_Program28910[J3 TOTAL],"&gt;"&amp;Twirling_Solo_Program28910[[#This Row],[J3 TOTAL]])+1</f>
        <v>1</v>
      </c>
      <c r="T2" s="46">
        <v>81.8</v>
      </c>
      <c r="U2" s="47">
        <v>0.2</v>
      </c>
      <c r="V2" s="48">
        <f>Twirling_Solo_Program28910[[#This Row],[Judge 4
Bernard Barač]]-U2</f>
        <v>81.599999999999994</v>
      </c>
      <c r="W2" s="49">
        <f>COUNTIFS(Twirling_Solo_Program28910[Age
Division],Twirling_Solo_Program28910[[#This Row],[Age
Division]],Twirling_Solo_Program28910[Category],Twirling_Solo_Program28910[[#This Row],[Category]],Twirling_Solo_Program28910[J4 TOTAL],"&gt;"&amp;Twirling_Solo_Program28910[[#This Row],[J4 TOTAL]])+1</f>
        <v>1</v>
      </c>
      <c r="X2" s="50">
        <f>SUM(Twirling_Solo_Program28910[[#This Row],[J1 TOTAL]]+Twirling_Solo_Program28910[[#This Row],[J2 TOTAL]]+Twirling_Solo_Program28910[[#This Row],[J3 TOTAL]]+Twirling_Solo_Program28910[[#This Row],[J4 TOTAL]])</f>
        <v>326</v>
      </c>
      <c r="Y2" s="50">
        <f>MIN(Twirling_Solo_Program28910[[#This Row],[J1 TOTAL]],Twirling_Solo_Program28910[[#This Row],[J2 TOTAL]],Twirling_Solo_Program28910[[#This Row],[J3 TOTAL]],Twirling_Solo_Program28910[[#This Row],[J4 TOTAL]])</f>
        <v>80.2</v>
      </c>
      <c r="Z2" s="50">
        <f>MAX(Twirling_Solo_Program28910[[#This Row],[J1 TOTAL]],Twirling_Solo_Program28910[[#This Row],[J2 TOTAL]],Twirling_Solo_Program28910[[#This Row],[J3 TOTAL]],Twirling_Solo_Program28910[[#This Row],[J4 TOTAL]])</f>
        <v>82.4</v>
      </c>
      <c r="AA2" s="50">
        <f>SUM(Twirling_Solo_Program28910[[#This Row],[Total]]-Twirling_Solo_Program28910[[#This Row],[Low]]-Twirling_Solo_Program28910[[#This Row],[High]])</f>
        <v>163.4</v>
      </c>
      <c r="AB2" s="59">
        <f>AVERAGE(H2,L2,P2,T2)</f>
        <v>81.75</v>
      </c>
      <c r="AC2" s="51">
        <f>Twirling_Solo_Program28910[[#This Row],[Final Total]]</f>
        <v>163.4</v>
      </c>
      <c r="AD2" s="60">
        <f>COUNTIFS(Twirling_Solo_Program28910[Age
Division],Twirling_Solo_Program28910[[#This Row],[Age
Division]],Twirling_Solo_Program28910[Category],Twirling_Solo_Program28910[[#This Row],[Category]],Twirling_Solo_Program28910[FINAL SCORE],"&gt;"&amp;Twirling_Solo_Program28910[[#This Row],[FINAL SCORE]])+1</f>
        <v>1</v>
      </c>
      <c r="AE2" s="61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6</v>
      </c>
      <c r="B3" s="44"/>
      <c r="C3" s="44" t="s">
        <v>34</v>
      </c>
      <c r="D3" s="44" t="s">
        <v>36</v>
      </c>
      <c r="E3" s="44"/>
      <c r="F3" s="44" t="s">
        <v>29</v>
      </c>
      <c r="G3" s="58" t="s">
        <v>30</v>
      </c>
      <c r="H3" s="46">
        <v>79</v>
      </c>
      <c r="I3" s="47">
        <v>0.8</v>
      </c>
      <c r="J3" s="48">
        <f>Twirling_Solo_Program28910[[#This Row],[Judge 1
Tamara Beljak]]-I3</f>
        <v>78.2</v>
      </c>
      <c r="K3" s="49">
        <f>COUNTIFS(Twirling_Solo_Program28910[Age
Division],Twirling_Solo_Program28910[[#This Row],[Age
Division]],Twirling_Solo_Program28910[Category],Twirling_Solo_Program28910[[#This Row],[Category]],Twirling_Solo_Program28910[J1 TOTAL],"&gt;"&amp;Twirling_Solo_Program28910[[#This Row],[J1 TOTAL]])+1</f>
        <v>2</v>
      </c>
      <c r="L3" s="46">
        <v>81.599999999999994</v>
      </c>
      <c r="M3" s="47">
        <v>0</v>
      </c>
      <c r="N3" s="48">
        <f>Twirling_Solo_Program28910[[#This Row],[Judge 2
Tihomir Bendelja]]-Twirling_Solo_Program28910[[#This Row],[J2 (-)]]</f>
        <v>81.599999999999994</v>
      </c>
      <c r="O3" s="49">
        <f>COUNTIFS(Twirling_Solo_Program28910[Age
Division],Twirling_Solo_Program28910[[#This Row],[Age
Division]],Twirling_Solo_Program28910[Category],Twirling_Solo_Program28910[[#This Row],[Category]],Twirling_Solo_Program28910[J2 TOTAL],"&gt;"&amp;Twirling_Solo_Program28910[[#This Row],[J2 TOTAL]])+1</f>
        <v>2</v>
      </c>
      <c r="P3" s="46">
        <v>78</v>
      </c>
      <c r="Q3" s="47">
        <v>0.7</v>
      </c>
      <c r="R3" s="48">
        <f>Twirling_Solo_Program28910[[#This Row],[Judge 3
Lucija Ljubičić]]-Q3</f>
        <v>77.3</v>
      </c>
      <c r="S3" s="49">
        <f>COUNTIFS(Twirling_Solo_Program28910[Age
Division],Twirling_Solo_Program28910[[#This Row],[Age
Division]],Twirling_Solo_Program28910[Category],Twirling_Solo_Program28910[[#This Row],[Category]],Twirling_Solo_Program28910[J3 TOTAL],"&gt;"&amp;Twirling_Solo_Program28910[[#This Row],[J3 TOTAL]])+1</f>
        <v>2</v>
      </c>
      <c r="T3" s="46">
        <v>79.400000000000006</v>
      </c>
      <c r="U3" s="47">
        <v>0.1</v>
      </c>
      <c r="V3" s="48">
        <f>Twirling_Solo_Program28910[[#This Row],[Judge 4
Bernard Barač]]-U3</f>
        <v>79.300000000000011</v>
      </c>
      <c r="W3" s="49">
        <f>COUNTIFS(Twirling_Solo_Program28910[Age
Division],Twirling_Solo_Program28910[[#This Row],[Age
Division]],Twirling_Solo_Program28910[Category],Twirling_Solo_Program28910[[#This Row],[Category]],Twirling_Solo_Program28910[J4 TOTAL],"&gt;"&amp;Twirling_Solo_Program28910[[#This Row],[J4 TOTAL]])+1</f>
        <v>2</v>
      </c>
      <c r="X3" s="50">
        <f>SUM(Twirling_Solo_Program28910[[#This Row],[J1 TOTAL]]+Twirling_Solo_Program28910[[#This Row],[J2 TOTAL]]+Twirling_Solo_Program28910[[#This Row],[J3 TOTAL]]+Twirling_Solo_Program28910[[#This Row],[J4 TOTAL]])</f>
        <v>316.40000000000003</v>
      </c>
      <c r="Y3" s="50">
        <f>MIN(Twirling_Solo_Program28910[[#This Row],[J1 TOTAL]],Twirling_Solo_Program28910[[#This Row],[J2 TOTAL]],Twirling_Solo_Program28910[[#This Row],[J3 TOTAL]],Twirling_Solo_Program28910[[#This Row],[J4 TOTAL]])</f>
        <v>77.3</v>
      </c>
      <c r="Z3" s="50">
        <f>MAX(Twirling_Solo_Program28910[[#This Row],[J1 TOTAL]],Twirling_Solo_Program28910[[#This Row],[J2 TOTAL]],Twirling_Solo_Program28910[[#This Row],[J3 TOTAL]],Twirling_Solo_Program28910[[#This Row],[J4 TOTAL]])</f>
        <v>81.599999999999994</v>
      </c>
      <c r="AA3" s="50">
        <f>SUM(Twirling_Solo_Program28910[[#This Row],[Total]]-Twirling_Solo_Program28910[[#This Row],[Low]]-Twirling_Solo_Program28910[[#This Row],[High]])</f>
        <v>157.50000000000003</v>
      </c>
      <c r="AB3" s="50">
        <f>AVERAGE(H3,L3,P3,T3)</f>
        <v>79.5</v>
      </c>
      <c r="AC3" s="51">
        <f>Twirling_Solo_Program28910[[#This Row],[Final Total]]</f>
        <v>157.50000000000003</v>
      </c>
      <c r="AD3" s="52">
        <f>COUNTIFS(Twirling_Solo_Program28910[Age
Division],Twirling_Solo_Program28910[[#This Row],[Age
Division]],Twirling_Solo_Program28910[Category],Twirling_Solo_Program28910[[#This Row],[Category]],Twirling_Solo_Program28910[FINAL SCORE],"&gt;"&amp;Twirling_Solo_Program28910[[#This Row],[FINAL SCORE]])+1</f>
        <v>2</v>
      </c>
      <c r="AE3" s="55" t="s">
        <v>27</v>
      </c>
    </row>
    <row r="4" spans="1:50" ht="15.6" x14ac:dyDescent="0.3">
      <c r="A4" s="56">
        <v>8</v>
      </c>
      <c r="B4" s="57"/>
      <c r="C4" s="44" t="s">
        <v>34</v>
      </c>
      <c r="D4" s="57" t="s">
        <v>36</v>
      </c>
      <c r="E4" s="57"/>
      <c r="F4" s="57" t="s">
        <v>38</v>
      </c>
      <c r="G4" s="58" t="s">
        <v>30</v>
      </c>
      <c r="H4" s="46">
        <v>58.5</v>
      </c>
      <c r="I4" s="47">
        <v>2.5</v>
      </c>
      <c r="J4" s="48">
        <f>Twirling_Solo_Program28910[[#This Row],[Judge 1
Tamara Beljak]]-I4</f>
        <v>56</v>
      </c>
      <c r="K4" s="49">
        <f>COUNTIFS(Twirling_Solo_Program28910[Age
Division],Twirling_Solo_Program28910[[#This Row],[Age
Division]],Twirling_Solo_Program28910[Category],Twirling_Solo_Program28910[[#This Row],[Category]],Twirling_Solo_Program28910[J1 TOTAL],"&gt;"&amp;Twirling_Solo_Program28910[[#This Row],[J1 TOTAL]])+1</f>
        <v>3</v>
      </c>
      <c r="L4" s="46">
        <v>61.3</v>
      </c>
      <c r="M4" s="47">
        <v>2</v>
      </c>
      <c r="N4" s="48">
        <f>Twirling_Solo_Program28910[[#This Row],[Judge 2
Tihomir Bendelja]]-Twirling_Solo_Program28910[[#This Row],[J2 (-)]]</f>
        <v>59.3</v>
      </c>
      <c r="O4" s="49">
        <f>COUNTIFS(Twirling_Solo_Program28910[Age
Division],Twirling_Solo_Program28910[[#This Row],[Age
Division]],Twirling_Solo_Program28910[Category],Twirling_Solo_Program28910[[#This Row],[Category]],Twirling_Solo_Program28910[J2 TOTAL],"&gt;"&amp;Twirling_Solo_Program28910[[#This Row],[J2 TOTAL]])+1</f>
        <v>3</v>
      </c>
      <c r="P4" s="46">
        <v>64</v>
      </c>
      <c r="Q4" s="47">
        <v>2.2000000000000002</v>
      </c>
      <c r="R4" s="48">
        <f>Twirling_Solo_Program28910[[#This Row],[Judge 3
Lucija Ljubičić]]-Q4</f>
        <v>61.8</v>
      </c>
      <c r="S4" s="49">
        <f>COUNTIFS(Twirling_Solo_Program28910[Age
Division],Twirling_Solo_Program28910[[#This Row],[Age
Division]],Twirling_Solo_Program28910[Category],Twirling_Solo_Program28910[[#This Row],[Category]],Twirling_Solo_Program28910[J3 TOTAL],"&gt;"&amp;Twirling_Solo_Program28910[[#This Row],[J3 TOTAL]])+1</f>
        <v>3</v>
      </c>
      <c r="T4" s="46">
        <v>62.7</v>
      </c>
      <c r="U4" s="47">
        <v>2.2999999999999998</v>
      </c>
      <c r="V4" s="48">
        <f>Twirling_Solo_Program28910[[#This Row],[Judge 4
Bernard Barač]]-U4</f>
        <v>60.400000000000006</v>
      </c>
      <c r="W4" s="49">
        <f>COUNTIFS(Twirling_Solo_Program28910[Age
Division],Twirling_Solo_Program28910[[#This Row],[Age
Division]],Twirling_Solo_Program28910[Category],Twirling_Solo_Program28910[[#This Row],[Category]],Twirling_Solo_Program28910[J4 TOTAL],"&gt;"&amp;Twirling_Solo_Program28910[[#This Row],[J4 TOTAL]])+1</f>
        <v>3</v>
      </c>
      <c r="X4" s="62">
        <f>SUM(Twirling_Solo_Program28910[[#This Row],[J1 TOTAL]]+Twirling_Solo_Program28910[[#This Row],[J2 TOTAL]]+Twirling_Solo_Program28910[[#This Row],[J3 TOTAL]]+Twirling_Solo_Program28910[[#This Row],[J4 TOTAL]])</f>
        <v>237.5</v>
      </c>
      <c r="Y4" s="50">
        <f>MIN(Twirling_Solo_Program28910[[#This Row],[J1 TOTAL]],Twirling_Solo_Program28910[[#This Row],[J2 TOTAL]],Twirling_Solo_Program28910[[#This Row],[J3 TOTAL]],Twirling_Solo_Program28910[[#This Row],[J4 TOTAL]])</f>
        <v>56</v>
      </c>
      <c r="Z4" s="50">
        <f>MAX(Twirling_Solo_Program28910[[#This Row],[J1 TOTAL]],Twirling_Solo_Program28910[[#This Row],[J2 TOTAL]],Twirling_Solo_Program28910[[#This Row],[J3 TOTAL]],Twirling_Solo_Program28910[[#This Row],[J4 TOTAL]])</f>
        <v>61.8</v>
      </c>
      <c r="AA4" s="50">
        <f>SUM(Twirling_Solo_Program28910[[#This Row],[Total]]-Twirling_Solo_Program28910[[#This Row],[Low]]-Twirling_Solo_Program28910[[#This Row],[High]])</f>
        <v>119.7</v>
      </c>
      <c r="AB4" s="59">
        <f>AVERAGE(H4,L4,P4,T4)</f>
        <v>61.625</v>
      </c>
      <c r="AC4" s="51">
        <f>Twirling_Solo_Program28910[[#This Row],[Final Total]]</f>
        <v>119.7</v>
      </c>
      <c r="AD4" s="60">
        <f>COUNTIFS(Twirling_Solo_Program28910[Age
Division],Twirling_Solo_Program28910[[#This Row],[Age
Division]],Twirling_Solo_Program28910[Category],Twirling_Solo_Program28910[[#This Row],[Category]],Twirling_Solo_Program28910[FINAL SCORE],"&gt;"&amp;Twirling_Solo_Program28910[[#This Row],[FINAL SCORE]])+1</f>
        <v>3</v>
      </c>
      <c r="AE4" s="61" t="s">
        <v>27</v>
      </c>
    </row>
  </sheetData>
  <sheetProtection algorithmName="SHA-512" hashValue="GQll5hSvBivJRqeV3r2oBFm3Y1escqb2SvyqspkpvSMcbc1GVALmZj8xawWujalRpkot3aAV//TP1vs9kn1M1Q==" saltValue="OV6U5dR/K0AWhKl6gRPtZg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3.44140625" style="43" customWidth="1"/>
    <col min="4" max="4" width="7.5546875" style="53" customWidth="1"/>
    <col min="5" max="5" width="40.77734375" style="45" hidden="1" customWidth="1"/>
    <col min="6" max="6" width="40.44140625" style="45" customWidth="1"/>
    <col min="7" max="7" width="8.8867187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10</v>
      </c>
      <c r="B2" s="57"/>
      <c r="C2" s="44" t="s">
        <v>34</v>
      </c>
      <c r="D2" s="57" t="s">
        <v>24</v>
      </c>
      <c r="E2" s="57"/>
      <c r="F2" s="57" t="s">
        <v>37</v>
      </c>
      <c r="G2" s="58" t="s">
        <v>30</v>
      </c>
      <c r="H2" s="46">
        <v>86.2</v>
      </c>
      <c r="I2" s="47">
        <v>0.6</v>
      </c>
      <c r="J2" s="48">
        <v>85.6</v>
      </c>
      <c r="K2" s="49">
        <f>COUNTIFS(Twirling_Solo_Program2891011[Age
Division],Twirling_Solo_Program2891011[[#This Row],[Age
Division]],Twirling_Solo_Program2891011[Category],Twirling_Solo_Program2891011[[#This Row],[Category]],Twirling_Solo_Program2891011[J1 TOTAL],"&gt;"&amp;Twirling_Solo_Program2891011[[#This Row],[J1 TOTAL]])+1</f>
        <v>1</v>
      </c>
      <c r="L2" s="46">
        <v>80.400000000000006</v>
      </c>
      <c r="M2" s="47">
        <v>0.5</v>
      </c>
      <c r="N2" s="48">
        <f>Twirling_Solo_Program2891011[[#This Row],[Judge 2
Tihomir Bendelja]]-Twirling_Solo_Program2891011[[#This Row],[J2 (-)]]</f>
        <v>79.900000000000006</v>
      </c>
      <c r="O2" s="49">
        <f>COUNTIFS(Twirling_Solo_Program2891011[Age
Division],Twirling_Solo_Program2891011[[#This Row],[Age
Division]],Twirling_Solo_Program2891011[Category],Twirling_Solo_Program2891011[[#This Row],[Category]],Twirling_Solo_Program2891011[J2 TOTAL],"&gt;"&amp;Twirling_Solo_Program2891011[[#This Row],[J2 TOTAL]])+1</f>
        <v>1</v>
      </c>
      <c r="P2" s="46">
        <v>84.5</v>
      </c>
      <c r="Q2" s="47">
        <v>0.5</v>
      </c>
      <c r="R2" s="48">
        <f>Twirling_Solo_Program2891011[[#This Row],[Judge 3
Lucija Ljubičić]]-Q2</f>
        <v>84</v>
      </c>
      <c r="S2" s="49">
        <f>COUNTIFS(Twirling_Solo_Program2891011[Age
Division],Twirling_Solo_Program2891011[[#This Row],[Age
Division]],Twirling_Solo_Program2891011[Category],Twirling_Solo_Program2891011[[#This Row],[Category]],Twirling_Solo_Program2891011[J3 TOTAL],"&gt;"&amp;Twirling_Solo_Program2891011[[#This Row],[J3 TOTAL]])+1</f>
        <v>1</v>
      </c>
      <c r="T2" s="46">
        <v>77.400000000000006</v>
      </c>
      <c r="U2" s="47">
        <v>0.6</v>
      </c>
      <c r="V2" s="48">
        <f>Twirling_Solo_Program2891011[[#This Row],[Judge 4
Bernard Barač]]-U2</f>
        <v>76.800000000000011</v>
      </c>
      <c r="W2" s="49">
        <f>COUNTIFS(Twirling_Solo_Program2891011[Age
Division],Twirling_Solo_Program2891011[[#This Row],[Age
Division]],Twirling_Solo_Program2891011[Category],Twirling_Solo_Program2891011[[#This Row],[Category]],Twirling_Solo_Program2891011[J4 TOTAL],"&gt;"&amp;Twirling_Solo_Program2891011[[#This Row],[J4 TOTAL]])+1</f>
        <v>2</v>
      </c>
      <c r="X2" s="50">
        <f>SUM(Twirling_Solo_Program2891011[[#This Row],[J1 TOTAL]]+Twirling_Solo_Program2891011[[#This Row],[J2 TOTAL]]+Twirling_Solo_Program2891011[[#This Row],[J3 TOTAL]]+Twirling_Solo_Program2891011[[#This Row],[J4 TOTAL]])</f>
        <v>326.3</v>
      </c>
      <c r="Y2" s="50">
        <f>MIN(Twirling_Solo_Program2891011[[#This Row],[J1 TOTAL]],Twirling_Solo_Program2891011[[#This Row],[J2 TOTAL]],Twirling_Solo_Program2891011[[#This Row],[J3 TOTAL]],Twirling_Solo_Program2891011[[#This Row],[J4 TOTAL]])</f>
        <v>76.800000000000011</v>
      </c>
      <c r="Z2" s="50">
        <f>MAX(Twirling_Solo_Program2891011[[#This Row],[J1 TOTAL]],Twirling_Solo_Program2891011[[#This Row],[J2 TOTAL]],Twirling_Solo_Program2891011[[#This Row],[J3 TOTAL]],Twirling_Solo_Program2891011[[#This Row],[J4 TOTAL]])</f>
        <v>85.6</v>
      </c>
      <c r="AA2" s="50">
        <f>SUM(Twirling_Solo_Program2891011[[#This Row],[Total]]-Twirling_Solo_Program2891011[[#This Row],[Low]]-Twirling_Solo_Program2891011[[#This Row],[High]])</f>
        <v>163.9</v>
      </c>
      <c r="AB2" s="59">
        <f>AVERAGE(H2,L2,P2,T2)</f>
        <v>82.125</v>
      </c>
      <c r="AC2" s="51">
        <f>Twirling_Solo_Program2891011[[#This Row],[Final Total]]</f>
        <v>163.9</v>
      </c>
      <c r="AD2" s="60">
        <f>COUNTIFS(Twirling_Solo_Program2891011[Age
Division],Twirling_Solo_Program2891011[[#This Row],[Age
Division]],Twirling_Solo_Program2891011[Category],Twirling_Solo_Program2891011[[#This Row],[Category]],Twirling_Solo_Program2891011[FINAL SCORE],"&gt;"&amp;Twirling_Solo_Program2891011[[#This Row],[FINAL SCORE]])+1</f>
        <v>1</v>
      </c>
      <c r="AE2" s="61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9</v>
      </c>
      <c r="B3" s="44"/>
      <c r="C3" s="44" t="s">
        <v>34</v>
      </c>
      <c r="D3" s="44" t="s">
        <v>24</v>
      </c>
      <c r="E3" s="44"/>
      <c r="F3" s="44" t="s">
        <v>29</v>
      </c>
      <c r="G3" s="45" t="s">
        <v>30</v>
      </c>
      <c r="H3" s="46">
        <v>83</v>
      </c>
      <c r="I3" s="47">
        <v>0.1</v>
      </c>
      <c r="J3" s="48">
        <f>Twirling_Solo_Program2891011[[#This Row],[Judge 1
Tamara Beljak]]-I3</f>
        <v>82.9</v>
      </c>
      <c r="K3" s="49">
        <f>COUNTIFS(Twirling_Solo_Program2891011[Age
Division],Twirling_Solo_Program2891011[[#This Row],[Age
Division]],Twirling_Solo_Program2891011[Category],Twirling_Solo_Program2891011[[#This Row],[Category]],Twirling_Solo_Program2891011[J1 TOTAL],"&gt;"&amp;Twirling_Solo_Program2891011[[#This Row],[J1 TOTAL]])+1</f>
        <v>2</v>
      </c>
      <c r="L3" s="46">
        <v>79.8</v>
      </c>
      <c r="M3" s="47">
        <v>0.5</v>
      </c>
      <c r="N3" s="48">
        <f>Twirling_Solo_Program2891011[[#This Row],[Judge 2
Tihomir Bendelja]]-Twirling_Solo_Program2891011[[#This Row],[J2 (-)]]</f>
        <v>79.3</v>
      </c>
      <c r="O3" s="49">
        <f>COUNTIFS(Twirling_Solo_Program2891011[Age
Division],Twirling_Solo_Program2891011[[#This Row],[Age
Division]],Twirling_Solo_Program2891011[Category],Twirling_Solo_Program2891011[[#This Row],[Category]],Twirling_Solo_Program2891011[J2 TOTAL],"&gt;"&amp;Twirling_Solo_Program2891011[[#This Row],[J2 TOTAL]])+1</f>
        <v>2</v>
      </c>
      <c r="P3" s="46">
        <v>79</v>
      </c>
      <c r="Q3" s="47">
        <v>0.1</v>
      </c>
      <c r="R3" s="48">
        <f>Twirling_Solo_Program2891011[[#This Row],[Judge 3
Lucija Ljubičić]]-Q3</f>
        <v>78.900000000000006</v>
      </c>
      <c r="S3" s="49">
        <f>COUNTIFS(Twirling_Solo_Program2891011[Age
Division],Twirling_Solo_Program2891011[[#This Row],[Age
Division]],Twirling_Solo_Program2891011[Category],Twirling_Solo_Program2891011[[#This Row],[Category]],Twirling_Solo_Program2891011[J3 TOTAL],"&gt;"&amp;Twirling_Solo_Program2891011[[#This Row],[J3 TOTAL]])+1</f>
        <v>2</v>
      </c>
      <c r="T3" s="46">
        <v>78</v>
      </c>
      <c r="U3" s="47">
        <v>0.5</v>
      </c>
      <c r="V3" s="48">
        <f>Twirling_Solo_Program2891011[[#This Row],[Judge 4
Bernard Barač]]-U3</f>
        <v>77.5</v>
      </c>
      <c r="W3" s="49">
        <f>COUNTIFS(Twirling_Solo_Program2891011[Age
Division],Twirling_Solo_Program2891011[[#This Row],[Age
Division]],Twirling_Solo_Program2891011[Category],Twirling_Solo_Program2891011[[#This Row],[Category]],Twirling_Solo_Program2891011[J4 TOTAL],"&gt;"&amp;Twirling_Solo_Program2891011[[#This Row],[J4 TOTAL]])+1</f>
        <v>1</v>
      </c>
      <c r="X3" s="50">
        <f>SUM(Twirling_Solo_Program2891011[[#This Row],[J1 TOTAL]]+Twirling_Solo_Program2891011[[#This Row],[J2 TOTAL]]+Twirling_Solo_Program2891011[[#This Row],[J3 TOTAL]]+Twirling_Solo_Program2891011[[#This Row],[J4 TOTAL]])</f>
        <v>318.60000000000002</v>
      </c>
      <c r="Y3" s="50">
        <f>MIN(Twirling_Solo_Program2891011[[#This Row],[J1 TOTAL]],Twirling_Solo_Program2891011[[#This Row],[J2 TOTAL]],Twirling_Solo_Program2891011[[#This Row],[J3 TOTAL]],Twirling_Solo_Program2891011[[#This Row],[J4 TOTAL]])</f>
        <v>77.5</v>
      </c>
      <c r="Z3" s="50">
        <f>MAX(Twirling_Solo_Program2891011[[#This Row],[J1 TOTAL]],Twirling_Solo_Program2891011[[#This Row],[J2 TOTAL]],Twirling_Solo_Program2891011[[#This Row],[J3 TOTAL]],Twirling_Solo_Program2891011[[#This Row],[J4 TOTAL]])</f>
        <v>82.9</v>
      </c>
      <c r="AA3" s="50">
        <f>SUM(Twirling_Solo_Program2891011[[#This Row],[Total]]-Twirling_Solo_Program2891011[[#This Row],[Low]]-Twirling_Solo_Program2891011[[#This Row],[High]])</f>
        <v>158.20000000000002</v>
      </c>
      <c r="AB3" s="50">
        <f>AVERAGE(H3,L3,P3,T3)</f>
        <v>79.95</v>
      </c>
      <c r="AC3" s="51">
        <f>Twirling_Solo_Program2891011[[#This Row],[Final Total]]</f>
        <v>158.20000000000002</v>
      </c>
      <c r="AD3" s="52">
        <f>COUNTIFS(Twirling_Solo_Program2891011[Age
Division],Twirling_Solo_Program2891011[[#This Row],[Age
Division]],Twirling_Solo_Program2891011[Category],Twirling_Solo_Program2891011[[#This Row],[Category]],Twirling_Solo_Program2891011[FINAL SCORE],"&gt;"&amp;Twirling_Solo_Program2891011[[#This Row],[FINAL SCORE]])+1</f>
        <v>2</v>
      </c>
      <c r="AE3" s="55" t="s">
        <v>27</v>
      </c>
    </row>
  </sheetData>
  <sheetProtection algorithmName="SHA-512" hashValue="ngDw3amNs/brHwm2UYFU9xmsuRcZdx8Z+Mi+o/6MZ19GlqOAt03OXHaVdqGsEOBc//ghKFaujZrCWs3uT6UOLA==" saltValue="wDGHwA06iVCr9vL922u7o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3.77734375" style="43" customWidth="1"/>
    <col min="4" max="4" width="16.21875" style="53" customWidth="1"/>
    <col min="5" max="5" width="40.77734375" style="45" hidden="1" customWidth="1"/>
    <col min="6" max="6" width="26.664062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14</v>
      </c>
      <c r="B2" s="44"/>
      <c r="C2" s="44" t="s">
        <v>34</v>
      </c>
      <c r="D2" s="44" t="s">
        <v>28</v>
      </c>
      <c r="E2" s="44"/>
      <c r="F2" s="44" t="s">
        <v>29</v>
      </c>
      <c r="G2" s="45" t="s">
        <v>30</v>
      </c>
      <c r="H2" s="46">
        <v>87</v>
      </c>
      <c r="I2" s="47">
        <v>0</v>
      </c>
      <c r="J2" s="48">
        <f>Twirling_Solo_Program28910111213[[#This Row],[Judge 1
Tamara Beljak]]-I2</f>
        <v>87</v>
      </c>
      <c r="K2" s="49">
        <f>COUNTIFS(Twirling_Solo_Program28910111213[Age
Division],Twirling_Solo_Program28910111213[[#This Row],[Age
Division]],Twirling_Solo_Program28910111213[Category],Twirling_Solo_Program28910111213[[#This Row],[Category]],Twirling_Solo_Program28910111213[J1 TOTAL],"&gt;"&amp;Twirling_Solo_Program28910111213[[#This Row],[J1 TOTAL]])+1</f>
        <v>1</v>
      </c>
      <c r="L2" s="46">
        <v>94.9</v>
      </c>
      <c r="M2" s="47">
        <v>0</v>
      </c>
      <c r="N2" s="48">
        <f>Twirling_Solo_Program28910111213[[#This Row],[Judge 2
Tihomir Bendelja]]-Twirling_Solo_Program28910111213[[#This Row],[J2 (-)]]</f>
        <v>94.9</v>
      </c>
      <c r="O2" s="49">
        <f>COUNTIFS(Twirling_Solo_Program28910111213[Age
Division],Twirling_Solo_Program28910111213[[#This Row],[Age
Division]],Twirling_Solo_Program28910111213[Category],Twirling_Solo_Program28910111213[[#This Row],[Category]],Twirling_Solo_Program28910111213[J2 TOTAL],"&gt;"&amp;Twirling_Solo_Program28910111213[[#This Row],[J2 TOTAL]])+1</f>
        <v>1</v>
      </c>
      <c r="P2" s="46">
        <v>76</v>
      </c>
      <c r="Q2" s="47">
        <v>0.2</v>
      </c>
      <c r="R2" s="48">
        <f>Twirling_Solo_Program28910111213[[#This Row],[Judge 3
Lucija Ljubičić]]-Q2</f>
        <v>75.8</v>
      </c>
      <c r="S2" s="49">
        <f>COUNTIFS(Twirling_Solo_Program28910111213[Age
Division],Twirling_Solo_Program28910111213[[#This Row],[Age
Division]],Twirling_Solo_Program28910111213[Category],Twirling_Solo_Program28910111213[[#This Row],[Category]],Twirling_Solo_Program28910111213[J3 TOTAL],"&gt;"&amp;Twirling_Solo_Program28910111213[[#This Row],[J3 TOTAL]])+1</f>
        <v>1</v>
      </c>
      <c r="T2" s="46">
        <v>96.3</v>
      </c>
      <c r="U2" s="47">
        <v>0</v>
      </c>
      <c r="V2" s="48">
        <f>Twirling_Solo_Program28910111213[[#This Row],[Judge 4
Bernard Barač]]-U2</f>
        <v>96.3</v>
      </c>
      <c r="W2" s="49">
        <f>COUNTIFS(Twirling_Solo_Program28910111213[Age
Division],Twirling_Solo_Program28910111213[[#This Row],[Age
Division]],Twirling_Solo_Program28910111213[Category],Twirling_Solo_Program28910111213[[#This Row],[Category]],Twirling_Solo_Program28910111213[J4 TOTAL],"&gt;"&amp;Twirling_Solo_Program28910111213[[#This Row],[J4 TOTAL]])+1</f>
        <v>1</v>
      </c>
      <c r="X2" s="50">
        <f>SUM(Twirling_Solo_Program28910111213[[#This Row],[J1 TOTAL]]+Twirling_Solo_Program28910111213[[#This Row],[J2 TOTAL]]+Twirling_Solo_Program28910111213[[#This Row],[J3 TOTAL]]+Twirling_Solo_Program28910111213[[#This Row],[J4 TOTAL]])</f>
        <v>354</v>
      </c>
      <c r="Y2" s="50">
        <f>MIN(Twirling_Solo_Program28910111213[[#This Row],[J1 TOTAL]],Twirling_Solo_Program28910111213[[#This Row],[J2 TOTAL]],Twirling_Solo_Program28910111213[[#This Row],[J3 TOTAL]],Twirling_Solo_Program28910111213[[#This Row],[J4 TOTAL]])</f>
        <v>75.8</v>
      </c>
      <c r="Z2" s="50">
        <f>MAX(Twirling_Solo_Program28910111213[[#This Row],[J1 TOTAL]],Twirling_Solo_Program28910111213[[#This Row],[J2 TOTAL]],Twirling_Solo_Program28910111213[[#This Row],[J3 TOTAL]],Twirling_Solo_Program28910111213[[#This Row],[J4 TOTAL]])</f>
        <v>96.3</v>
      </c>
      <c r="AA2" s="50">
        <f>SUM(Twirling_Solo_Program28910111213[[#This Row],[Total]]-Twirling_Solo_Program28910111213[[#This Row],[Low]]-Twirling_Solo_Program28910111213[[#This Row],[High]])</f>
        <v>181.89999999999998</v>
      </c>
      <c r="AB2" s="50">
        <f>AVERAGE(H2,L2,P2,T2)</f>
        <v>88.55</v>
      </c>
      <c r="AC2" s="51">
        <f>Twirling_Solo_Program28910111213[[#This Row],[Final Total]]</f>
        <v>181.89999999999998</v>
      </c>
      <c r="AD2" s="52">
        <f>COUNTIFS(Twirling_Solo_Program28910111213[Age
Division],Twirling_Solo_Program28910111213[[#This Row],[Age
Division]],Twirling_Solo_Program28910111213[Category],Twirling_Solo_Program28910111213[[#This Row],[Category]],Twirling_Solo_Program28910111213[FINAL SCORE],"&gt;"&amp;Twirling_Solo_Program28910111213[[#This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mJBrd8BMbtg9x40FhHFOogfJ/iMZsqef59Wgte60PdOIC0THkWRtZorXDYwrGBNzrnsb4U4E+RllHn/izgoHHQ==" saltValue="52rPbh3f3578QH5Hn8HdK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4"/>
  <sheetViews>
    <sheetView zoomScale="80" zoomScaleNormal="80" workbookViewId="0">
      <pane ySplit="1" topLeftCell="A2" activePane="bottomLeft" state="frozen"/>
      <selection pane="bottomLeft" activeCell="X4" sqref="X4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0.21875" style="43" customWidth="1"/>
    <col min="4" max="4" width="7" style="53" customWidth="1"/>
    <col min="5" max="5" width="40.77734375" style="45" hidden="1" customWidth="1"/>
    <col min="6" max="6" width="49.109375" style="45" customWidth="1"/>
    <col min="7" max="7" width="12.664062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12</v>
      </c>
      <c r="B2" s="57"/>
      <c r="C2" s="44" t="s">
        <v>39</v>
      </c>
      <c r="D2" s="57" t="s">
        <v>24</v>
      </c>
      <c r="E2" s="57"/>
      <c r="F2" s="57" t="s">
        <v>25</v>
      </c>
      <c r="G2" s="58" t="s">
        <v>26</v>
      </c>
      <c r="H2" s="46">
        <v>69</v>
      </c>
      <c r="I2" s="47">
        <v>5.3</v>
      </c>
      <c r="J2" s="48">
        <f>Twirling_Solo_Program289101112[[#This Row],[Judge 1
Tamara Beljak]]-I2</f>
        <v>63.7</v>
      </c>
      <c r="K2" s="49">
        <f>COUNTIFS(Twirling_Solo_Program289101112[Age
Division],Twirling_Solo_Program289101112[[#This Row],[Age
Division]],Twirling_Solo_Program289101112[Category],Twirling_Solo_Program289101112[[#This Row],[Category]],Twirling_Solo_Program289101112[J1 TOTAL],"&gt;"&amp;Twirling_Solo_Program289101112[[#This Row],[J1 TOTAL]])+1</f>
        <v>2</v>
      </c>
      <c r="L2" s="46">
        <v>77.3</v>
      </c>
      <c r="M2" s="47">
        <v>5</v>
      </c>
      <c r="N2" s="48">
        <f>Twirling_Solo_Program289101112[[#This Row],[Judge 2
Tihomir Bendelja]]-Twirling_Solo_Program289101112[[#This Row],[J2 (-)]]</f>
        <v>72.3</v>
      </c>
      <c r="O2" s="49">
        <f>COUNTIFS(Twirling_Solo_Program289101112[Age
Division],Twirling_Solo_Program289101112[[#This Row],[Age
Division]],Twirling_Solo_Program289101112[Category],Twirling_Solo_Program289101112[[#This Row],[Category]],Twirling_Solo_Program289101112[J2 TOTAL],"&gt;"&amp;Twirling_Solo_Program289101112[[#This Row],[J2 TOTAL]])+1</f>
        <v>1</v>
      </c>
      <c r="P2" s="46">
        <v>79.5</v>
      </c>
      <c r="Q2" s="47">
        <v>5</v>
      </c>
      <c r="R2" s="48">
        <f>Twirling_Solo_Program289101112[[#This Row],[Judge 3
Lucija Ljubičić]]-Q2</f>
        <v>74.5</v>
      </c>
      <c r="S2" s="49">
        <f>COUNTIFS(Twirling_Solo_Program289101112[Age
Division],Twirling_Solo_Program289101112[[#This Row],[Age
Division]],Twirling_Solo_Program289101112[Category],Twirling_Solo_Program289101112[[#This Row],[Category]],Twirling_Solo_Program289101112[J3 TOTAL],"&gt;"&amp;Twirling_Solo_Program289101112[[#This Row],[J3 TOTAL]])+1</f>
        <v>1</v>
      </c>
      <c r="T2" s="46">
        <v>79.2</v>
      </c>
      <c r="U2" s="47">
        <v>5.7</v>
      </c>
      <c r="V2" s="48">
        <f>Twirling_Solo_Program289101112[[#This Row],[Judge 4
Bernard Barač]]-U2</f>
        <v>73.5</v>
      </c>
      <c r="W2" s="49">
        <f>COUNTIFS(Twirling_Solo_Program289101112[Age
Division],Twirling_Solo_Program289101112[[#This Row],[Age
Division]],Twirling_Solo_Program289101112[Category],Twirling_Solo_Program289101112[[#This Row],[Category]],Twirling_Solo_Program289101112[J4 TOTAL],"&gt;"&amp;Twirling_Solo_Program289101112[[#This Row],[J4 TOTAL]])+1</f>
        <v>1</v>
      </c>
      <c r="X2" s="50">
        <f>SUM(Twirling_Solo_Program289101112[[#This Row],[J1 TOTAL]]+Twirling_Solo_Program289101112[[#This Row],[J2 TOTAL]]+Twirling_Solo_Program289101112[[#This Row],[J3 TOTAL]]+Twirling_Solo_Program289101112[[#This Row],[J4 TOTAL]])</f>
        <v>284</v>
      </c>
      <c r="Y2" s="50">
        <f>MIN(Twirling_Solo_Program289101112[[#This Row],[J1 TOTAL]],Twirling_Solo_Program289101112[[#This Row],[J2 TOTAL]],Twirling_Solo_Program289101112[[#This Row],[J3 TOTAL]],Twirling_Solo_Program289101112[[#This Row],[J4 TOTAL]])</f>
        <v>63.7</v>
      </c>
      <c r="Z2" s="50">
        <f>MAX(Twirling_Solo_Program289101112[[#This Row],[J1 TOTAL]],Twirling_Solo_Program289101112[[#This Row],[J2 TOTAL]],Twirling_Solo_Program289101112[[#This Row],[J3 TOTAL]],Twirling_Solo_Program289101112[[#This Row],[J4 TOTAL]])</f>
        <v>74.5</v>
      </c>
      <c r="AA2" s="50">
        <f>SUM(Twirling_Solo_Program289101112[[#This Row],[Total]]-Twirling_Solo_Program289101112[[#This Row],[Low]]-Twirling_Solo_Program289101112[[#This Row],[High]])</f>
        <v>145.80000000000001</v>
      </c>
      <c r="AB2" s="59">
        <f>AVERAGE(H2,L2,P2,T2)</f>
        <v>76.25</v>
      </c>
      <c r="AC2" s="51">
        <f>Twirling_Solo_Program289101112[[#This Row],[Final Total]]</f>
        <v>145.80000000000001</v>
      </c>
      <c r="AD2" s="60">
        <f>COUNTIFS(Twirling_Solo_Program289101112[Age
Division],Twirling_Solo_Program289101112[[#This Row],[Age
Division]],Twirling_Solo_Program289101112[Category],Twirling_Solo_Program289101112[[#This Row],[Category]],Twirling_Solo_Program289101112[FINAL SCORE],"&gt;"&amp;Twirling_Solo_Program289101112[[#This Row],[FINAL SCORE]])+1</f>
        <v>1</v>
      </c>
      <c r="AE2" s="61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13</v>
      </c>
      <c r="B3" s="57"/>
      <c r="C3" s="44" t="s">
        <v>39</v>
      </c>
      <c r="D3" s="57" t="s">
        <v>24</v>
      </c>
      <c r="E3" s="57"/>
      <c r="F3" s="57" t="s">
        <v>40</v>
      </c>
      <c r="G3" s="58" t="s">
        <v>26</v>
      </c>
      <c r="H3" s="46">
        <v>75</v>
      </c>
      <c r="I3" s="47">
        <v>2.5</v>
      </c>
      <c r="J3" s="48">
        <f>Twirling_Solo_Program289101112[[#This Row],[Judge 1
Tamara Beljak]]-I3</f>
        <v>72.5</v>
      </c>
      <c r="K3" s="49">
        <f>COUNTIFS(Twirling_Solo_Program289101112[Age
Division],Twirling_Solo_Program289101112[[#This Row],[Age
Division]],Twirling_Solo_Program289101112[Category],Twirling_Solo_Program289101112[[#This Row],[Category]],Twirling_Solo_Program289101112[J1 TOTAL],"&gt;"&amp;Twirling_Solo_Program289101112[[#This Row],[J1 TOTAL]])+1</f>
        <v>1</v>
      </c>
      <c r="L3" s="46">
        <v>72.3</v>
      </c>
      <c r="M3" s="47">
        <v>2.5</v>
      </c>
      <c r="N3" s="48">
        <f>Twirling_Solo_Program289101112[[#This Row],[Judge 2
Tihomir Bendelja]]-Twirling_Solo_Program289101112[[#This Row],[J2 (-)]]</f>
        <v>69.8</v>
      </c>
      <c r="O3" s="49">
        <f>COUNTIFS(Twirling_Solo_Program289101112[Age
Division],Twirling_Solo_Program289101112[[#This Row],[Age
Division]],Twirling_Solo_Program289101112[Category],Twirling_Solo_Program289101112[[#This Row],[Category]],Twirling_Solo_Program289101112[J2 TOTAL],"&gt;"&amp;Twirling_Solo_Program289101112[[#This Row],[J2 TOTAL]])+1</f>
        <v>2</v>
      </c>
      <c r="P3" s="46">
        <v>76</v>
      </c>
      <c r="Q3" s="47">
        <v>2.5</v>
      </c>
      <c r="R3" s="48">
        <f>Twirling_Solo_Program289101112[[#This Row],[Judge 3
Lucija Ljubičić]]-Q3</f>
        <v>73.5</v>
      </c>
      <c r="S3" s="49">
        <f>COUNTIFS(Twirling_Solo_Program289101112[Age
Division],Twirling_Solo_Program289101112[[#This Row],[Age
Division]],Twirling_Solo_Program289101112[Category],Twirling_Solo_Program289101112[[#This Row],[Category]],Twirling_Solo_Program289101112[J3 TOTAL],"&gt;"&amp;Twirling_Solo_Program289101112[[#This Row],[J3 TOTAL]])+1</f>
        <v>2</v>
      </c>
      <c r="T3" s="46">
        <v>75.3</v>
      </c>
      <c r="U3" s="47">
        <v>2.6</v>
      </c>
      <c r="V3" s="48">
        <f>Twirling_Solo_Program289101112[[#This Row],[Judge 4
Bernard Barač]]-U3</f>
        <v>72.7</v>
      </c>
      <c r="W3" s="49">
        <f>COUNTIFS(Twirling_Solo_Program289101112[Age
Division],Twirling_Solo_Program289101112[[#This Row],[Age
Division]],Twirling_Solo_Program289101112[Category],Twirling_Solo_Program289101112[[#This Row],[Category]],Twirling_Solo_Program289101112[J4 TOTAL],"&gt;"&amp;Twirling_Solo_Program289101112[[#This Row],[J4 TOTAL]])+1</f>
        <v>2</v>
      </c>
      <c r="X3" s="62">
        <f>SUM(Twirling_Solo_Program289101112[[#This Row],[J1 TOTAL]]+Twirling_Solo_Program289101112[[#This Row],[J2 TOTAL]]+Twirling_Solo_Program289101112[[#This Row],[J3 TOTAL]]+Twirling_Solo_Program289101112[[#This Row],[J4 TOTAL]])</f>
        <v>288.5</v>
      </c>
      <c r="Y3" s="50">
        <f>MIN(Twirling_Solo_Program289101112[[#This Row],[J1 TOTAL]],Twirling_Solo_Program289101112[[#This Row],[J2 TOTAL]],Twirling_Solo_Program289101112[[#This Row],[J3 TOTAL]],Twirling_Solo_Program289101112[[#This Row],[J4 TOTAL]])</f>
        <v>69.8</v>
      </c>
      <c r="Z3" s="50">
        <f>MAX(Twirling_Solo_Program289101112[[#This Row],[J1 TOTAL]],Twirling_Solo_Program289101112[[#This Row],[J2 TOTAL]],Twirling_Solo_Program289101112[[#This Row],[J3 TOTAL]],Twirling_Solo_Program289101112[[#This Row],[J4 TOTAL]])</f>
        <v>73.5</v>
      </c>
      <c r="AA3" s="50">
        <f>SUM(Twirling_Solo_Program289101112[[#This Row],[Total]]-Twirling_Solo_Program289101112[[#This Row],[Low]]-Twirling_Solo_Program289101112[[#This Row],[High]])</f>
        <v>145.19999999999999</v>
      </c>
      <c r="AB3" s="59">
        <f>AVERAGE(H3,L3,P3,T3)</f>
        <v>74.650000000000006</v>
      </c>
      <c r="AC3" s="51">
        <f>Twirling_Solo_Program289101112[[#This Row],[Final Total]]</f>
        <v>145.19999999999999</v>
      </c>
      <c r="AD3" s="60">
        <f>COUNTIFS(Twirling_Solo_Program289101112[Age
Division],Twirling_Solo_Program289101112[[#This Row],[Age
Division]],Twirling_Solo_Program289101112[Category],Twirling_Solo_Program289101112[[#This Row],[Category]],Twirling_Solo_Program289101112[FINAL SCORE],"&gt;"&amp;Twirling_Solo_Program289101112[[#This Row],[FINAL SCORE]])+1</f>
        <v>2</v>
      </c>
      <c r="AE3" s="61" t="s">
        <v>27</v>
      </c>
    </row>
    <row r="4" spans="1:50" ht="15.6" x14ac:dyDescent="0.3">
      <c r="A4" s="61">
        <v>11</v>
      </c>
      <c r="B4" s="44"/>
      <c r="C4" s="44" t="s">
        <v>39</v>
      </c>
      <c r="D4" s="44" t="s">
        <v>24</v>
      </c>
      <c r="E4" s="44"/>
      <c r="F4" s="44" t="s">
        <v>31</v>
      </c>
      <c r="G4" s="58" t="s">
        <v>32</v>
      </c>
      <c r="H4" s="46">
        <v>63.5</v>
      </c>
      <c r="I4" s="47">
        <v>2.2000000000000002</v>
      </c>
      <c r="J4" s="48">
        <f>Twirling_Solo_Program289101112[[#This Row],[Judge 1
Tamara Beljak]]-I4</f>
        <v>61.3</v>
      </c>
      <c r="K4" s="49">
        <f>COUNTIFS(Twirling_Solo_Program289101112[Age
Division],Twirling_Solo_Program289101112[[#This Row],[Age
Division]],Twirling_Solo_Program289101112[Category],Twirling_Solo_Program289101112[[#This Row],[Category]],Twirling_Solo_Program289101112[J1 TOTAL],"&gt;"&amp;Twirling_Solo_Program289101112[[#This Row],[J1 TOTAL]])+1</f>
        <v>3</v>
      </c>
      <c r="L4" s="46">
        <v>71.599999999999994</v>
      </c>
      <c r="M4" s="47">
        <v>2</v>
      </c>
      <c r="N4" s="48">
        <f>Twirling_Solo_Program289101112[[#This Row],[Judge 2
Tihomir Bendelja]]-Twirling_Solo_Program289101112[[#This Row],[J2 (-)]]</f>
        <v>69.599999999999994</v>
      </c>
      <c r="O4" s="49">
        <f>COUNTIFS(Twirling_Solo_Program289101112[Age
Division],Twirling_Solo_Program289101112[[#This Row],[Age
Division]],Twirling_Solo_Program289101112[Category],Twirling_Solo_Program289101112[[#This Row],[Category]],Twirling_Solo_Program289101112[J2 TOTAL],"&gt;"&amp;Twirling_Solo_Program289101112[[#This Row],[J2 TOTAL]])+1</f>
        <v>3</v>
      </c>
      <c r="P4" s="46">
        <v>65.5</v>
      </c>
      <c r="Q4" s="47">
        <v>2.4</v>
      </c>
      <c r="R4" s="48">
        <f>Twirling_Solo_Program289101112[[#This Row],[Judge 3
Lucija Ljubičić]]-Q4</f>
        <v>63.1</v>
      </c>
      <c r="S4" s="49">
        <f>COUNTIFS(Twirling_Solo_Program289101112[Age
Division],Twirling_Solo_Program289101112[[#This Row],[Age
Division]],Twirling_Solo_Program289101112[Category],Twirling_Solo_Program289101112[[#This Row],[Category]],Twirling_Solo_Program289101112[J3 TOTAL],"&gt;"&amp;Twirling_Solo_Program289101112[[#This Row],[J3 TOTAL]])+1</f>
        <v>3</v>
      </c>
      <c r="T4" s="46">
        <v>74.099999999999994</v>
      </c>
      <c r="U4" s="47">
        <v>2.2000000000000002</v>
      </c>
      <c r="V4" s="48">
        <f>Twirling_Solo_Program289101112[[#This Row],[Judge 4
Bernard Barač]]-U4</f>
        <v>71.899999999999991</v>
      </c>
      <c r="W4" s="49">
        <f>COUNTIFS(Twirling_Solo_Program289101112[Age
Division],Twirling_Solo_Program289101112[[#This Row],[Age
Division]],Twirling_Solo_Program289101112[Category],Twirling_Solo_Program289101112[[#This Row],[Category]],Twirling_Solo_Program289101112[J4 TOTAL],"&gt;"&amp;Twirling_Solo_Program289101112[[#This Row],[J4 TOTAL]])+1</f>
        <v>3</v>
      </c>
      <c r="X4" s="50">
        <f>SUM(Twirling_Solo_Program289101112[[#This Row],[J1 TOTAL]]+Twirling_Solo_Program289101112[[#This Row],[J2 TOTAL]]+Twirling_Solo_Program289101112[[#This Row],[J3 TOTAL]]+Twirling_Solo_Program289101112[[#This Row],[J4 TOTAL]])</f>
        <v>265.89999999999998</v>
      </c>
      <c r="Y4" s="50">
        <f>MIN(Twirling_Solo_Program289101112[[#This Row],[J1 TOTAL]],Twirling_Solo_Program289101112[[#This Row],[J2 TOTAL]],Twirling_Solo_Program289101112[[#This Row],[J3 TOTAL]],Twirling_Solo_Program289101112[[#This Row],[J4 TOTAL]])</f>
        <v>61.3</v>
      </c>
      <c r="Z4" s="50">
        <f>MAX(Twirling_Solo_Program289101112[[#This Row],[J1 TOTAL]],Twirling_Solo_Program289101112[[#This Row],[J2 TOTAL]],Twirling_Solo_Program289101112[[#This Row],[J3 TOTAL]],Twirling_Solo_Program289101112[[#This Row],[J4 TOTAL]])</f>
        <v>71.899999999999991</v>
      </c>
      <c r="AA4" s="50">
        <f>SUM(Twirling_Solo_Program289101112[[#This Row],[Total]]-Twirling_Solo_Program289101112[[#This Row],[Low]]-Twirling_Solo_Program289101112[[#This Row],[High]])</f>
        <v>132.69999999999999</v>
      </c>
      <c r="AB4" s="50">
        <f>AVERAGE(H4,L4,P4,T4)</f>
        <v>68.674999999999997</v>
      </c>
      <c r="AC4" s="51">
        <f>Twirling_Solo_Program289101112[[#This Row],[Final Total]]</f>
        <v>132.69999999999999</v>
      </c>
      <c r="AD4" s="52">
        <f>COUNTIFS(Twirling_Solo_Program289101112[Age
Division],Twirling_Solo_Program289101112[[#This Row],[Age
Division]],Twirling_Solo_Program289101112[Category],Twirling_Solo_Program289101112[[#This Row],[Category]],Twirling_Solo_Program289101112[FINAL SCORE],"&gt;"&amp;Twirling_Solo_Program289101112[[#This Row],[FINAL SCORE]])+1</f>
        <v>3</v>
      </c>
      <c r="AE4" s="55" t="s">
        <v>27</v>
      </c>
    </row>
  </sheetData>
  <sheetProtection algorithmName="SHA-512" hashValue="EYqATxDdYXZrLlf4hSNkkg7VGDSaU+r4zakUFCR2vKehNXLuPhyouq09V7Aj03w7873tRCf1V4DBCciwNki5JQ==" saltValue="Y+zSa6VUjFjCBWiDK9Rwt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3.21875" style="43" customWidth="1"/>
    <col min="4" max="4" width="9.77734375" style="53" customWidth="1"/>
    <col min="5" max="5" width="40.77734375" style="45" hidden="1" customWidth="1"/>
    <col min="6" max="6" width="33.33203125" style="45" customWidth="1"/>
    <col min="7" max="7" width="10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16</v>
      </c>
      <c r="B2" s="57"/>
      <c r="C2" s="44" t="s">
        <v>39</v>
      </c>
      <c r="D2" s="57" t="s">
        <v>28</v>
      </c>
      <c r="E2" s="57"/>
      <c r="F2" s="57" t="s">
        <v>40</v>
      </c>
      <c r="G2" s="58" t="s">
        <v>26</v>
      </c>
      <c r="H2" s="46">
        <v>71.5</v>
      </c>
      <c r="I2" s="47">
        <v>4.0999999999999996</v>
      </c>
      <c r="J2" s="48">
        <f>Twirling_Solo_Program2891011121314[[#This Row],[Judge 1
Tamara Beljak]]-I2</f>
        <v>67.400000000000006</v>
      </c>
      <c r="K2" s="49">
        <f>COUNTIFS(Twirling_Solo_Program2891011121314[Age
Division],Twirling_Solo_Program2891011121314[[#This Row],[Age
Division]],Twirling_Solo_Program2891011121314[Category],Twirling_Solo_Program2891011121314[[#This Row],[Category]],Twirling_Solo_Program2891011121314[J1 TOTAL],"&gt;"&amp;Twirling_Solo_Program2891011121314[[#This Row],[J1 TOTAL]])+1</f>
        <v>1</v>
      </c>
      <c r="L2" s="46">
        <v>70.3</v>
      </c>
      <c r="M2" s="47">
        <v>4</v>
      </c>
      <c r="N2" s="48">
        <f>Twirling_Solo_Program2891011121314[[#This Row],[Judge 2
Tihomir Bendelja]]-Twirling_Solo_Program2891011121314[[#This Row],[J2 (-)]]</f>
        <v>66.3</v>
      </c>
      <c r="O2" s="49">
        <f>COUNTIFS(Twirling_Solo_Program2891011121314[Age
Division],Twirling_Solo_Program2891011121314[[#This Row],[Age
Division]],Twirling_Solo_Program2891011121314[Category],Twirling_Solo_Program2891011121314[[#This Row],[Category]],Twirling_Solo_Program2891011121314[J2 TOTAL],"&gt;"&amp;Twirling_Solo_Program2891011121314[[#This Row],[J2 TOTAL]])+1</f>
        <v>1</v>
      </c>
      <c r="P2" s="46">
        <v>72</v>
      </c>
      <c r="Q2" s="47">
        <v>4.0999999999999996</v>
      </c>
      <c r="R2" s="48">
        <f>Twirling_Solo_Program2891011121314[[#This Row],[Judge 3
Lucija Ljubičić]]-Q2</f>
        <v>67.900000000000006</v>
      </c>
      <c r="S2" s="49">
        <f>COUNTIFS(Twirling_Solo_Program2891011121314[Age
Division],Twirling_Solo_Program2891011121314[[#This Row],[Age
Division]],Twirling_Solo_Program2891011121314[Category],Twirling_Solo_Program2891011121314[[#This Row],[Category]],Twirling_Solo_Program2891011121314[J3 TOTAL],"&gt;"&amp;Twirling_Solo_Program2891011121314[[#This Row],[J3 TOTAL]])+1</f>
        <v>1</v>
      </c>
      <c r="T2" s="46">
        <v>73.400000000000006</v>
      </c>
      <c r="U2" s="47">
        <v>4.0999999999999996</v>
      </c>
      <c r="V2" s="48">
        <f>Twirling_Solo_Program2891011121314[[#This Row],[Judge 4
Bernard Barač]]-U2</f>
        <v>69.300000000000011</v>
      </c>
      <c r="W2" s="49">
        <f>COUNTIFS(Twirling_Solo_Program2891011121314[Age
Division],Twirling_Solo_Program2891011121314[[#This Row],[Age
Division]],Twirling_Solo_Program2891011121314[Category],Twirling_Solo_Program2891011121314[[#This Row],[Category]],Twirling_Solo_Program2891011121314[J4 TOTAL],"&gt;"&amp;Twirling_Solo_Program2891011121314[[#This Row],[J4 TOTAL]])+1</f>
        <v>1</v>
      </c>
      <c r="X2" s="62">
        <f>SUM(Twirling_Solo_Program2891011121314[[#This Row],[J1 TOTAL]]+Twirling_Solo_Program2891011121314[[#This Row],[J2 TOTAL]]+Twirling_Solo_Program2891011121314[[#This Row],[J3 TOTAL]]+Twirling_Solo_Program2891011121314[[#This Row],[J4 TOTAL]])</f>
        <v>270.89999999999998</v>
      </c>
      <c r="Y2" s="50">
        <f>MIN(Twirling_Solo_Program2891011121314[[#This Row],[J1 TOTAL]],Twirling_Solo_Program2891011121314[[#This Row],[J2 TOTAL]],Twirling_Solo_Program2891011121314[[#This Row],[J3 TOTAL]],Twirling_Solo_Program2891011121314[[#This Row],[J4 TOTAL]])</f>
        <v>66.3</v>
      </c>
      <c r="Z2" s="50">
        <f>MAX(Twirling_Solo_Program2891011121314[[#This Row],[J1 TOTAL]],Twirling_Solo_Program2891011121314[[#This Row],[J2 TOTAL]],Twirling_Solo_Program2891011121314[[#This Row],[J3 TOTAL]],Twirling_Solo_Program2891011121314[[#This Row],[J4 TOTAL]])</f>
        <v>69.300000000000011</v>
      </c>
      <c r="AA2" s="50">
        <f>SUM(Twirling_Solo_Program2891011121314[[#This Row],[Total]]-Twirling_Solo_Program2891011121314[[#This Row],[Low]]-Twirling_Solo_Program2891011121314[[#This Row],[High]])</f>
        <v>135.29999999999995</v>
      </c>
      <c r="AB2" s="59">
        <f>AVERAGE(H2,L2,P2,T2)</f>
        <v>71.800000000000011</v>
      </c>
      <c r="AC2" s="51">
        <f>Twirling_Solo_Program2891011121314[[#This Row],[Final Total]]</f>
        <v>135.29999999999995</v>
      </c>
      <c r="AD2" s="60">
        <f>COUNTIFS(Twirling_Solo_Program2891011121314[Age
Division],Twirling_Solo_Program2891011121314[[#This Row],[Age
Division]],Twirling_Solo_Program2891011121314[Category],Twirling_Solo_Program2891011121314[[#This Row],[Category]],Twirling_Solo_Program2891011121314[FINAL SCORE],"&gt;"&amp;Twirling_Solo_Program2891011121314[[#This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15</v>
      </c>
      <c r="B3" s="44"/>
      <c r="C3" s="44" t="s">
        <v>39</v>
      </c>
      <c r="D3" s="44" t="s">
        <v>28</v>
      </c>
      <c r="E3" s="44"/>
      <c r="F3" s="44" t="s">
        <v>41</v>
      </c>
      <c r="G3" s="58" t="s">
        <v>26</v>
      </c>
      <c r="H3" s="46">
        <v>64.5</v>
      </c>
      <c r="I3" s="47">
        <v>1.1000000000000001</v>
      </c>
      <c r="J3" s="48">
        <f>Twirling_Solo_Program2891011121314[[#This Row],[Judge 1
Tamara Beljak]]-I3</f>
        <v>63.4</v>
      </c>
      <c r="K3" s="49">
        <f>COUNTIFS(Twirling_Solo_Program2891011121314[Age
Division],Twirling_Solo_Program2891011121314[[#This Row],[Age
Division]],Twirling_Solo_Program2891011121314[Category],Twirling_Solo_Program2891011121314[[#This Row],[Category]],Twirling_Solo_Program2891011121314[J1 TOTAL],"&gt;"&amp;Twirling_Solo_Program2891011121314[[#This Row],[J1 TOTAL]])+1</f>
        <v>2</v>
      </c>
      <c r="L3" s="46">
        <v>66.2</v>
      </c>
      <c r="M3" s="47">
        <v>1</v>
      </c>
      <c r="N3" s="48">
        <f>Twirling_Solo_Program2891011121314[[#This Row],[Judge 2
Tihomir Bendelja]]-Twirling_Solo_Program2891011121314[[#This Row],[J2 (-)]]</f>
        <v>65.2</v>
      </c>
      <c r="O3" s="49">
        <f>COUNTIFS(Twirling_Solo_Program2891011121314[Age
Division],Twirling_Solo_Program2891011121314[[#This Row],[Age
Division]],Twirling_Solo_Program2891011121314[Category],Twirling_Solo_Program2891011121314[[#This Row],[Category]],Twirling_Solo_Program2891011121314[J2 TOTAL],"&gt;"&amp;Twirling_Solo_Program2891011121314[[#This Row],[J2 TOTAL]])+1</f>
        <v>2</v>
      </c>
      <c r="P3" s="46">
        <v>66</v>
      </c>
      <c r="Q3" s="47">
        <v>1.2</v>
      </c>
      <c r="R3" s="48">
        <f>Twirling_Solo_Program2891011121314[[#This Row],[Judge 3
Lucija Ljubičić]]-Q3</f>
        <v>64.8</v>
      </c>
      <c r="S3" s="49">
        <f>COUNTIFS(Twirling_Solo_Program2891011121314[Age
Division],Twirling_Solo_Program2891011121314[[#This Row],[Age
Division]],Twirling_Solo_Program2891011121314[Category],Twirling_Solo_Program2891011121314[[#This Row],[Category]],Twirling_Solo_Program2891011121314[J3 TOTAL],"&gt;"&amp;Twirling_Solo_Program2891011121314[[#This Row],[J3 TOTAL]])+1</f>
        <v>2</v>
      </c>
      <c r="T3" s="46">
        <v>68.7</v>
      </c>
      <c r="U3" s="47">
        <v>1.2</v>
      </c>
      <c r="V3" s="48">
        <f>Twirling_Solo_Program2891011121314[[#This Row],[Judge 4
Bernard Barač]]-U3</f>
        <v>67.5</v>
      </c>
      <c r="W3" s="49">
        <f>COUNTIFS(Twirling_Solo_Program2891011121314[Age
Division],Twirling_Solo_Program2891011121314[[#This Row],[Age
Division]],Twirling_Solo_Program2891011121314[Category],Twirling_Solo_Program2891011121314[[#This Row],[Category]],Twirling_Solo_Program2891011121314[J4 TOTAL],"&gt;"&amp;Twirling_Solo_Program2891011121314[[#This Row],[J4 TOTAL]])+1</f>
        <v>2</v>
      </c>
      <c r="X3" s="50">
        <f>SUM(Twirling_Solo_Program2891011121314[[#This Row],[J1 TOTAL]]+Twirling_Solo_Program2891011121314[[#This Row],[J2 TOTAL]]+Twirling_Solo_Program2891011121314[[#This Row],[J3 TOTAL]]+Twirling_Solo_Program2891011121314[[#This Row],[J4 TOTAL]])</f>
        <v>260.89999999999998</v>
      </c>
      <c r="Y3" s="50">
        <f>MIN(Twirling_Solo_Program2891011121314[[#This Row],[J1 TOTAL]],Twirling_Solo_Program2891011121314[[#This Row],[J2 TOTAL]],Twirling_Solo_Program2891011121314[[#This Row],[J3 TOTAL]],Twirling_Solo_Program2891011121314[[#This Row],[J4 TOTAL]])</f>
        <v>63.4</v>
      </c>
      <c r="Z3" s="50">
        <f>MAX(Twirling_Solo_Program2891011121314[[#This Row],[J1 TOTAL]],Twirling_Solo_Program2891011121314[[#This Row],[J2 TOTAL]],Twirling_Solo_Program2891011121314[[#This Row],[J3 TOTAL]],Twirling_Solo_Program2891011121314[[#This Row],[J4 TOTAL]])</f>
        <v>67.5</v>
      </c>
      <c r="AA3" s="50">
        <f>SUM(Twirling_Solo_Program2891011121314[[#This Row],[Total]]-Twirling_Solo_Program2891011121314[[#This Row],[Low]]-Twirling_Solo_Program2891011121314[[#This Row],[High]])</f>
        <v>129.99999999999997</v>
      </c>
      <c r="AB3" s="50">
        <f>AVERAGE(H3,L3,P3,T3)</f>
        <v>66.349999999999994</v>
      </c>
      <c r="AC3" s="51">
        <f>Twirling_Solo_Program2891011121314[[#This Row],[Final Total]]</f>
        <v>129.99999999999997</v>
      </c>
      <c r="AD3" s="52">
        <f>COUNTIFS(Twirling_Solo_Program2891011121314[Age
Division],Twirling_Solo_Program2891011121314[[#This Row],[Age
Division]],Twirling_Solo_Program2891011121314[Category],Twirling_Solo_Program2891011121314[[#This Row],[Category]],Twirling_Solo_Program2891011121314[FINAL SCORE],"&gt;"&amp;Twirling_Solo_Program2891011121314[[#This Row],[FINAL SCORE]])+1</f>
        <v>2</v>
      </c>
      <c r="AE3" s="55" t="s">
        <v>27</v>
      </c>
    </row>
  </sheetData>
  <sheetProtection algorithmName="SHA-512" hashValue="8fNcaxsbEq+f3hxDTP++Trso+2804trUDECaqa0U2P5dNUiybIglbtGfNdUNH5tCUXpioZ/xNbrrTjd1bp/oIA==" saltValue="V7ezyH0IaL1PKxulUKUSLg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1.33203125" style="43" customWidth="1"/>
    <col min="4" max="4" width="9.88671875" style="53" customWidth="1"/>
    <col min="5" max="5" width="40.77734375" style="45" hidden="1" customWidth="1"/>
    <col min="6" max="6" width="49.554687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17</v>
      </c>
      <c r="B2" s="44"/>
      <c r="C2" s="44" t="s">
        <v>39</v>
      </c>
      <c r="D2" s="44" t="s">
        <v>33</v>
      </c>
      <c r="E2" s="44"/>
      <c r="F2" s="44" t="s">
        <v>31</v>
      </c>
      <c r="G2" s="45" t="s">
        <v>32</v>
      </c>
      <c r="H2" s="46">
        <v>67.5</v>
      </c>
      <c r="I2" s="47">
        <v>2.1</v>
      </c>
      <c r="J2" s="48">
        <f>Twirling_Solo_Program289101112131415[[#This Row],[Judge 1
Tamara Beljak]]-I2</f>
        <v>65.400000000000006</v>
      </c>
      <c r="K2" s="49">
        <f>COUNTIFS(Twirling_Solo_Program289101112131415[Age
Division],Twirling_Solo_Program289101112131415[[#This Row],[Age
Division]],Twirling_Solo_Program289101112131415[Category],Twirling_Solo_Program289101112131415[[#This Row],[Category]],Twirling_Solo_Program289101112131415[J1 TOTAL],"&gt;"&amp;Twirling_Solo_Program289101112131415[[#This Row],[J1 TOTAL]])+1</f>
        <v>1</v>
      </c>
      <c r="L2" s="46">
        <v>64.400000000000006</v>
      </c>
      <c r="M2" s="47">
        <v>2</v>
      </c>
      <c r="N2" s="48">
        <f>Twirling_Solo_Program289101112131415[[#This Row],[Judge 2
Tihomir Bendelja]]-Twirling_Solo_Program289101112131415[[#This Row],[J2 (-)]]</f>
        <v>62.400000000000006</v>
      </c>
      <c r="O2" s="49">
        <f>COUNTIFS(Twirling_Solo_Program289101112131415[Age
Division],Twirling_Solo_Program289101112131415[[#This Row],[Age
Division]],Twirling_Solo_Program289101112131415[Category],Twirling_Solo_Program289101112131415[[#This Row],[Category]],Twirling_Solo_Program289101112131415[J2 TOTAL],"&gt;"&amp;Twirling_Solo_Program289101112131415[[#This Row],[J2 TOTAL]])+1</f>
        <v>1</v>
      </c>
      <c r="P2" s="46">
        <v>66.5</v>
      </c>
      <c r="Q2" s="47">
        <v>2.2000000000000002</v>
      </c>
      <c r="R2" s="48">
        <f>Twirling_Solo_Program289101112131415[[#This Row],[Judge 3
Lucija Ljubičić]]-Q2</f>
        <v>64.3</v>
      </c>
      <c r="S2" s="49">
        <f>COUNTIFS(Twirling_Solo_Program289101112131415[Age
Division],Twirling_Solo_Program289101112131415[[#This Row],[Age
Division]],Twirling_Solo_Program289101112131415[Category],Twirling_Solo_Program289101112131415[[#This Row],[Category]],Twirling_Solo_Program289101112131415[J3 TOTAL],"&gt;"&amp;Twirling_Solo_Program289101112131415[[#This Row],[J3 TOTAL]])+1</f>
        <v>1</v>
      </c>
      <c r="T2" s="46">
        <v>64.5</v>
      </c>
      <c r="U2" s="47">
        <v>2</v>
      </c>
      <c r="V2" s="48">
        <f>Twirling_Solo_Program289101112131415[[#This Row],[Judge 4
Bernard Barač]]-U2</f>
        <v>62.5</v>
      </c>
      <c r="W2" s="49">
        <f>COUNTIFS(Twirling_Solo_Program289101112131415[Age
Division],Twirling_Solo_Program289101112131415[[#This Row],[Age
Division]],Twirling_Solo_Program289101112131415[Category],Twirling_Solo_Program289101112131415[[#This Row],[Category]],Twirling_Solo_Program289101112131415[J4 TOTAL],"&gt;"&amp;Twirling_Solo_Program289101112131415[[#This Row],[J4 TOTAL]])+1</f>
        <v>1</v>
      </c>
      <c r="X2" s="50">
        <f>SUM(Twirling_Solo_Program289101112131415[[#This Row],[J1 TOTAL]]+Twirling_Solo_Program289101112131415[[#This Row],[J2 TOTAL]]+Twirling_Solo_Program289101112131415[[#This Row],[J3 TOTAL]]+Twirling_Solo_Program289101112131415[[#This Row],[J4 TOTAL]])</f>
        <v>254.60000000000002</v>
      </c>
      <c r="Y2" s="50">
        <f>MIN(Twirling_Solo_Program289101112131415[[#This Row],[J1 TOTAL]],Twirling_Solo_Program289101112131415[[#This Row],[J2 TOTAL]],Twirling_Solo_Program289101112131415[[#This Row],[J3 TOTAL]],Twirling_Solo_Program289101112131415[[#This Row],[J4 TOTAL]])</f>
        <v>62.400000000000006</v>
      </c>
      <c r="Z2" s="50">
        <f>MAX(Twirling_Solo_Program289101112131415[[#This Row],[J1 TOTAL]],Twirling_Solo_Program289101112131415[[#This Row],[J2 TOTAL]],Twirling_Solo_Program289101112131415[[#This Row],[J3 TOTAL]],Twirling_Solo_Program289101112131415[[#This Row],[J4 TOTAL]])</f>
        <v>65.400000000000006</v>
      </c>
      <c r="AA2" s="50">
        <f>SUM(Twirling_Solo_Program289101112131415[[#This Row],[Total]]-Twirling_Solo_Program289101112131415[[#This Row],[Low]]-Twirling_Solo_Program289101112131415[[#This Row],[High]])</f>
        <v>126.80000000000001</v>
      </c>
      <c r="AB2" s="50">
        <f>AVERAGE(H2,L2,P2,T2)</f>
        <v>65.724999999999994</v>
      </c>
      <c r="AC2" s="51">
        <f>Twirling_Solo_Program289101112131415[[#This Row],[Final Total]]</f>
        <v>126.80000000000001</v>
      </c>
      <c r="AD2" s="52">
        <f>COUNTIFS(Twirling_Solo_Program289101112131415[Age
Division],Twirling_Solo_Program289101112131415[[#This Row],[Age
Division]],Twirling_Solo_Program289101112131415[Category],Twirling_Solo_Program289101112131415[[#This Row],[Category]],Twirling_Solo_Program289101112131415[FINAL SCORE],"&gt;"&amp;Twirling_Solo_Program289101112131415[[#This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c6imEamcKXRmX7CeNgox3u6Z4w1i3JykuLWjGwl3CL/9Fovlf71lCqB0qC2tNX7BoQ9Fw2+kWJHbwuQne3ORng==" saltValue="LZeOGVrlju5+uAY7qsNnP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"/>
  <sheetViews>
    <sheetView zoomScale="80" zoomScaleNormal="80" workbookViewId="0">
      <pane ySplit="1" topLeftCell="A2" activePane="bottomLeft" state="frozen"/>
      <selection pane="bottomLeft" activeCell="V14" sqref="V14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19.6640625" style="43" customWidth="1"/>
    <col min="4" max="4" width="6.77734375" style="53" customWidth="1"/>
    <col min="5" max="5" width="40.77734375" style="45" hidden="1" customWidth="1"/>
    <col min="6" max="6" width="47.109375" style="45" customWidth="1"/>
    <col min="7" max="7" width="9.3320312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43">
        <v>1</v>
      </c>
      <c r="C2" s="44" t="s">
        <v>23</v>
      </c>
      <c r="D2" s="44" t="s">
        <v>24</v>
      </c>
      <c r="E2" s="44"/>
      <c r="F2" s="44" t="s">
        <v>25</v>
      </c>
      <c r="G2" s="45" t="s">
        <v>26</v>
      </c>
      <c r="H2" s="46">
        <v>79.5</v>
      </c>
      <c r="I2" s="47">
        <v>1</v>
      </c>
      <c r="J2" s="48">
        <f>Twirling_Solo_Program27[[#This Row],[Judge 1
Tamara Beljak]]-I2</f>
        <v>78.5</v>
      </c>
      <c r="K2" s="49">
        <f>COUNTIFS(Twirling_Solo_Program27[Age
Division],Twirling_Solo_Program27[[#This Row],[Age
Division]],Twirling_Solo_Program27[Category],Twirling_Solo_Program27[[#This Row],[Category]],Twirling_Solo_Program27[J1 TOTAL],"&gt;"&amp;Twirling_Solo_Program27[[#This Row],[J1 TOTAL]])+1</f>
        <v>1</v>
      </c>
      <c r="L2" s="46">
        <v>76.5</v>
      </c>
      <c r="M2" s="47">
        <v>1</v>
      </c>
      <c r="N2" s="48">
        <f>Twirling_Solo_Program27[[#This Row],[Judge 2
Tihomir Bendelja]]-Twirling_Solo_Program27[[#This Row],[J2 (-)]]</f>
        <v>75.5</v>
      </c>
      <c r="O2" s="49">
        <f>COUNTIFS(Twirling_Solo_Program27[Age
Division],Twirling_Solo_Program27[[#This Row],[Age
Division]],Twirling_Solo_Program27[Category],Twirling_Solo_Program27[[#This Row],[Category]],Twirling_Solo_Program27[J2 TOTAL],"&gt;"&amp;Twirling_Solo_Program27[[#This Row],[J2 TOTAL]])+1</f>
        <v>1</v>
      </c>
      <c r="P2" s="46">
        <v>77.5</v>
      </c>
      <c r="Q2" s="47">
        <v>1.1000000000000001</v>
      </c>
      <c r="R2" s="48">
        <f>Twirling_Solo_Program27[[#This Row],[Judge 3
Lucija Ljubičić]]-Q2</f>
        <v>76.400000000000006</v>
      </c>
      <c r="S2" s="49">
        <f>COUNTIFS(Twirling_Solo_Program27[Age
Division],Twirling_Solo_Program27[[#This Row],[Age
Division]],Twirling_Solo_Program27[Category],Twirling_Solo_Program27[[#This Row],[Category]],Twirling_Solo_Program27[J3 TOTAL],"&gt;"&amp;Twirling_Solo_Program27[[#This Row],[J3 TOTAL]])+1</f>
        <v>1</v>
      </c>
      <c r="T2" s="46">
        <v>76.099999999999994</v>
      </c>
      <c r="U2" s="47">
        <v>1.8</v>
      </c>
      <c r="V2" s="48">
        <f>Twirling_Solo_Program27[[#This Row],[Judge 4
Bernard Barač]]-U2</f>
        <v>74.3</v>
      </c>
      <c r="W2" s="49">
        <f>COUNTIFS(Twirling_Solo_Program27[Age
Division],Twirling_Solo_Program27[[#This Row],[Age
Division]],Twirling_Solo_Program27[Category],Twirling_Solo_Program27[[#This Row],[Category]],Twirling_Solo_Program27[J4 TOTAL],"&gt;"&amp;Twirling_Solo_Program27[[#This Row],[J4 TOTAL]])+1</f>
        <v>1</v>
      </c>
      <c r="X2" s="50">
        <f>SUM(Twirling_Solo_Program27[[#This Row],[J1 TOTAL]]+Twirling_Solo_Program27[[#This Row],[J2 TOTAL]]+Twirling_Solo_Program27[[#This Row],[J3 TOTAL]]+Twirling_Solo_Program27[[#This Row],[J4 TOTAL]])</f>
        <v>304.7</v>
      </c>
      <c r="Y2" s="50">
        <f>MIN(Twirling_Solo_Program27[[#This Row],[J1 TOTAL]],Twirling_Solo_Program27[[#This Row],[J2 TOTAL]],Twirling_Solo_Program27[[#This Row],[J3 TOTAL]],Twirling_Solo_Program27[[#This Row],[J4 TOTAL]])</f>
        <v>74.3</v>
      </c>
      <c r="Z2" s="50">
        <f>MAX(Twirling_Solo_Program27[[#This Row],[J1 TOTAL]],Twirling_Solo_Program27[[#This Row],[J2 TOTAL]],Twirling_Solo_Program27[[#This Row],[J3 TOTAL]],Twirling_Solo_Program27[[#This Row],[J4 TOTAL]])</f>
        <v>78.5</v>
      </c>
      <c r="AA2" s="50">
        <f>SUM(Twirling_Solo_Program27[[#This Row],[Total]]-Twirling_Solo_Program27[[#This Row],[Low]]-Twirling_Solo_Program27[[#This Row],[High]])</f>
        <v>151.89999999999998</v>
      </c>
      <c r="AB2" s="50">
        <f>AVERAGE(H2,L2,P2,T2)</f>
        <v>77.400000000000006</v>
      </c>
      <c r="AC2" s="51">
        <f>Twirling_Solo_Program27[[#This Row],[Final Total]]</f>
        <v>151.89999999999998</v>
      </c>
      <c r="AD2" s="52">
        <f>COUNTIFS(Twirling_Solo_Program27[Age
Division],Twirling_Solo_Program27[[#This Row],[Age
Division]],Twirling_Solo_Program27[Category],Twirling_Solo_Program27[[#This Row],[Category]],Twirling_Solo_Program27[FINAL SCORE],"&gt;"&amp;Twirling_Solo_Program27[[#This Row],[FINAL SCORE]])+1</f>
        <v>1</v>
      </c>
      <c r="AE2" s="50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x14ac:dyDescent="0.3">
      <c r="X3" s="45"/>
    </row>
  </sheetData>
  <sheetProtection algorithmName="SHA-512" hashValue="NmYIIqVCVtJnhjI32WW3luSA1Fg8+8rtMk7gyLXsAQv+Q3l9137vxElNYKzFVLroKbbGO+fuz9+A9bFw1CZ1KA==" saltValue="A8mRnOrZLt7KEV2okWDDt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X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3.77734375" style="43" customWidth="1"/>
    <col min="4" max="4" width="9.77734375" style="53" customWidth="1"/>
    <col min="5" max="5" width="14.109375" style="45" customWidth="1"/>
    <col min="6" max="6" width="46.21875" style="45" bestFit="1" customWidth="1"/>
    <col min="7" max="7" width="9" style="45" customWidth="1"/>
    <col min="8" max="9" width="9.21875" style="45" customWidth="1"/>
    <col min="10" max="11" width="9.21875" style="54" customWidth="1"/>
    <col min="12" max="15" width="9.21875" style="54" hidden="1" customWidth="1"/>
    <col min="16" max="19" width="9.21875" style="54" customWidth="1"/>
    <col min="20" max="22" width="9.21875" style="54" hidden="1" customWidth="1"/>
    <col min="23" max="23" width="9.21875" style="45" hidden="1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80</v>
      </c>
      <c r="B2" s="63">
        <v>2</v>
      </c>
      <c r="C2" s="44" t="s">
        <v>62</v>
      </c>
      <c r="D2" s="57" t="s">
        <v>28</v>
      </c>
      <c r="E2" s="57" t="s">
        <v>119</v>
      </c>
      <c r="F2" s="57" t="s">
        <v>25</v>
      </c>
      <c r="G2" s="57" t="s">
        <v>26</v>
      </c>
      <c r="H2" s="46">
        <v>38.299999999999997</v>
      </c>
      <c r="I2" s="47">
        <v>0.5</v>
      </c>
      <c r="J2" s="48">
        <f>Twirling_Solo_Program28910111213141516171819202223242526272829303134[[#This Row],[Judge 1
Tamara Beljak]]-I2</f>
        <v>37.799999999999997</v>
      </c>
      <c r="K2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Row],[Category]],Twirling_Solo_Program28910111213141516171819202223242526272829303134[J1 TOTAL],"&gt;"&amp;Twirling_Solo_Program28910111213141516171819202223242526272829303134[[#This Row],[J1 TOTAL]])+1</f>
        <v>1</v>
      </c>
      <c r="L2" s="46"/>
      <c r="M2" s="47"/>
      <c r="N2" s="48">
        <f>Twirling_Solo_Program28910111213141516171819202223242526272829303134[[#This Row],[Judge 2
Tihomir Bendelja]]-Twirling_Solo_Program28910111213141516171819202223242526272829303134[[#This Row],[J2 (-)]]</f>
        <v>0</v>
      </c>
      <c r="O2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Row],[Category]],Twirling_Solo_Program28910111213141516171819202223242526272829303134[J2 TOTAL],"&gt;"&amp;Twirling_Solo_Program28910111213141516171819202223242526272829303134[[#This Row],[J2 TOTAL]])+1</f>
        <v>1</v>
      </c>
      <c r="P2" s="46">
        <v>38.5</v>
      </c>
      <c r="Q2" s="47">
        <v>0.5</v>
      </c>
      <c r="R2" s="48">
        <f>Twirling_Solo_Program28910111213141516171819202223242526272829303134[[#This Row],[Judge 3
Lucija Ljubičić]]-Q2</f>
        <v>38</v>
      </c>
      <c r="S2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Row],[Category]],Twirling_Solo_Program28910111213141516171819202223242526272829303134[J3 TOTAL],"&gt;"&amp;Twirling_Solo_Program28910111213141516171819202223242526272829303134[[#This Row],[J3 TOTAL]])+1</f>
        <v>1</v>
      </c>
      <c r="T2" s="46"/>
      <c r="U2" s="47"/>
      <c r="V2" s="48">
        <f>Twirling_Solo_Program28910111213141516171819202223242526272829303134[[#This Row],[Judge 4
Bernard Barač]]-U2</f>
        <v>0</v>
      </c>
      <c r="W2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Row],[Category]],Twirling_Solo_Program28910111213141516171819202223242526272829303134[J4 TOTAL],"&gt;"&amp;Twirling_Solo_Program28910111213141516171819202223242526272829303134[[#This Row],[J4 TOTAL]])+1</f>
        <v>1</v>
      </c>
      <c r="X2" s="62">
        <f>SUM(Twirling_Solo_Program28910111213141516171819202223242526272829303134[[#This Row],[J1 TOTAL]]+Twirling_Solo_Program28910111213141516171819202223242526272829303134[[#This Row],[J2 TOTAL]]+Twirling_Solo_Program28910111213141516171819202223242526272829303134[[#This Row],[J3 TOTAL]]+Twirling_Solo_Program28910111213141516171819202223242526272829303134[[#This Row],[J4 TOTAL]])</f>
        <v>75.8</v>
      </c>
      <c r="Y2" s="50"/>
      <c r="Z2" s="50"/>
      <c r="AA2" s="50">
        <f>Twirling_Solo_Program28910111213141516171819202223242526272829303134[[#This Row],[Total]]</f>
        <v>75.8</v>
      </c>
      <c r="AB2" s="59">
        <f t="shared" ref="AB2:AB7" si="0">AVERAGE(H2,L2,P2,T2)</f>
        <v>38.4</v>
      </c>
      <c r="AC2" s="51">
        <f>Twirling_Solo_Program28910111213141516171819202223242526272829303134[[#This Row],[Final Total]]</f>
        <v>75.8</v>
      </c>
      <c r="AD2" s="60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Row],[Category]],Twirling_Solo_Program28910111213141516171819202223242526272829303134[FINAL SCORE],"&gt;"&amp;Twirling_Solo_Program28910111213141516171819202223242526272829303134[[#This Row],[FINAL SCORE]])+1</f>
        <v>1</v>
      </c>
      <c r="AE2" s="55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74</v>
      </c>
      <c r="B3" s="64">
        <v>2</v>
      </c>
      <c r="C3" s="44" t="s">
        <v>62</v>
      </c>
      <c r="D3" s="44" t="s">
        <v>28</v>
      </c>
      <c r="E3" s="44" t="s">
        <v>113</v>
      </c>
      <c r="F3" s="44" t="s">
        <v>56</v>
      </c>
      <c r="G3" s="44" t="s">
        <v>26</v>
      </c>
      <c r="H3" s="46">
        <v>31</v>
      </c>
      <c r="I3" s="47">
        <v>0.1</v>
      </c>
      <c r="J3" s="48">
        <f>Twirling_Solo_Program28910111213141516171819202223242526272829303134[[#This Row],[Judge 1
Tamara Beljak]]-I3</f>
        <v>30.9</v>
      </c>
      <c r="K3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Row],[Category]],Twirling_Solo_Program28910111213141516171819202223242526272829303134[J1 TOTAL],"&gt;"&amp;Twirling_Solo_Program28910111213141516171819202223242526272829303134[[#This Row],[J1 TOTAL]])+1</f>
        <v>2</v>
      </c>
      <c r="L3" s="46"/>
      <c r="M3" s="47"/>
      <c r="N3" s="48">
        <f>Twirling_Solo_Program28910111213141516171819202223242526272829303134[[#This Row],[Judge 2
Tihomir Bendelja]]-Twirling_Solo_Program28910111213141516171819202223242526272829303134[[#This Row],[J2 (-)]]</f>
        <v>0</v>
      </c>
      <c r="O3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Row],[Category]],Twirling_Solo_Program28910111213141516171819202223242526272829303134[J2 TOTAL],"&gt;"&amp;Twirling_Solo_Program28910111213141516171819202223242526272829303134[[#This Row],[J2 TOTAL]])+1</f>
        <v>1</v>
      </c>
      <c r="P3" s="46">
        <v>31.5</v>
      </c>
      <c r="Q3" s="47">
        <v>0.1</v>
      </c>
      <c r="R3" s="48">
        <f>Twirling_Solo_Program28910111213141516171819202223242526272829303134[[#This Row],[Judge 3
Lucija Ljubičić]]-Q3</f>
        <v>31.4</v>
      </c>
      <c r="S3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Row],[Category]],Twirling_Solo_Program28910111213141516171819202223242526272829303134[J3 TOTAL],"&gt;"&amp;Twirling_Solo_Program28910111213141516171819202223242526272829303134[[#This Row],[J3 TOTAL]])+1</f>
        <v>2</v>
      </c>
      <c r="T3" s="46"/>
      <c r="U3" s="47"/>
      <c r="V3" s="48">
        <f>Twirling_Solo_Program28910111213141516171819202223242526272829303134[[#This Row],[Judge 4
Bernard Barač]]-U3</f>
        <v>0</v>
      </c>
      <c r="W3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Row],[Category]],Twirling_Solo_Program28910111213141516171819202223242526272829303134[J4 TOTAL],"&gt;"&amp;Twirling_Solo_Program28910111213141516171819202223242526272829303134[[#This Row],[J4 TOTAL]])+1</f>
        <v>1</v>
      </c>
      <c r="X3" s="50">
        <f>SUM(Twirling_Solo_Program28910111213141516171819202223242526272829303134[[#This Row],[J1 TOTAL]]+Twirling_Solo_Program28910111213141516171819202223242526272829303134[[#This Row],[J2 TOTAL]]+Twirling_Solo_Program28910111213141516171819202223242526272829303134[[#This Row],[J3 TOTAL]]+Twirling_Solo_Program28910111213141516171819202223242526272829303134[[#This Row],[J4 TOTAL]])</f>
        <v>62.3</v>
      </c>
      <c r="Y3" s="50"/>
      <c r="Z3" s="50"/>
      <c r="AA3" s="50">
        <f>Twirling_Solo_Program28910111213141516171819202223242526272829303134[[#This Row],[Total]]</f>
        <v>62.3</v>
      </c>
      <c r="AB3" s="50">
        <f t="shared" si="0"/>
        <v>31.25</v>
      </c>
      <c r="AC3" s="51">
        <f>Twirling_Solo_Program28910111213141516171819202223242526272829303134[[#This Row],[Final Total]]</f>
        <v>62.3</v>
      </c>
      <c r="AD3" s="52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Row],[Category]],Twirling_Solo_Program28910111213141516171819202223242526272829303134[FINAL SCORE],"&gt;"&amp;Twirling_Solo_Program28910111213141516171819202223242526272829303134[[#This Row],[FINAL SCORE]])+1</f>
        <v>2</v>
      </c>
      <c r="AE3" s="55" t="s">
        <v>51</v>
      </c>
    </row>
    <row r="4" spans="1:50" ht="15.6" x14ac:dyDescent="0.3">
      <c r="A4" s="56">
        <v>84</v>
      </c>
      <c r="B4" s="63">
        <v>2</v>
      </c>
      <c r="C4" s="44" t="s">
        <v>62</v>
      </c>
      <c r="D4" s="57" t="s">
        <v>28</v>
      </c>
      <c r="E4" s="57" t="s">
        <v>94</v>
      </c>
      <c r="F4" s="57" t="s">
        <v>77</v>
      </c>
      <c r="G4" s="57" t="s">
        <v>26</v>
      </c>
      <c r="H4" s="46">
        <v>31</v>
      </c>
      <c r="I4" s="47">
        <v>1.4</v>
      </c>
      <c r="J4" s="48">
        <f>Twirling_Solo_Program28910111213141516171819202223242526272829303134[[#This Row],[Judge 1
Tamara Beljak]]-I4</f>
        <v>29.6</v>
      </c>
      <c r="K4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Row],[Category]],Twirling_Solo_Program28910111213141516171819202223242526272829303134[J1 TOTAL],"&gt;"&amp;Twirling_Solo_Program28910111213141516171819202223242526272829303134[[#This Row],[J1 TOTAL]])+1</f>
        <v>3</v>
      </c>
      <c r="L4" s="46"/>
      <c r="M4" s="47"/>
      <c r="N4" s="48">
        <f>Twirling_Solo_Program28910111213141516171819202223242526272829303134[[#This Row],[Judge 2
Tihomir Bendelja]]-Twirling_Solo_Program28910111213141516171819202223242526272829303134[[#This Row],[J2 (-)]]</f>
        <v>0</v>
      </c>
      <c r="O4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Row],[Category]],Twirling_Solo_Program28910111213141516171819202223242526272829303134[J2 TOTAL],"&gt;"&amp;Twirling_Solo_Program28910111213141516171819202223242526272829303134[[#This Row],[J2 TOTAL]])+1</f>
        <v>1</v>
      </c>
      <c r="P4" s="46">
        <v>30.5</v>
      </c>
      <c r="Q4" s="47">
        <v>1.4</v>
      </c>
      <c r="R4" s="48">
        <f>Twirling_Solo_Program28910111213141516171819202223242526272829303134[[#This Row],[Judge 3
Lucija Ljubičić]]-Q4</f>
        <v>29.1</v>
      </c>
      <c r="S4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Row],[Category]],Twirling_Solo_Program28910111213141516171819202223242526272829303134[J3 TOTAL],"&gt;"&amp;Twirling_Solo_Program28910111213141516171819202223242526272829303134[[#This Row],[J3 TOTAL]])+1</f>
        <v>3</v>
      </c>
      <c r="T4" s="46"/>
      <c r="U4" s="47"/>
      <c r="V4" s="48">
        <f>Twirling_Solo_Program28910111213141516171819202223242526272829303134[[#This Row],[Judge 4
Bernard Barač]]-U4</f>
        <v>0</v>
      </c>
      <c r="W4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Row],[Category]],Twirling_Solo_Program28910111213141516171819202223242526272829303134[J4 TOTAL],"&gt;"&amp;Twirling_Solo_Program28910111213141516171819202223242526272829303134[[#This Row],[J4 TOTAL]])+1</f>
        <v>1</v>
      </c>
      <c r="X4" s="62">
        <f>SUM(Twirling_Solo_Program28910111213141516171819202223242526272829303134[[#This Row],[J1 TOTAL]]+Twirling_Solo_Program28910111213141516171819202223242526272829303134[[#This Row],[J2 TOTAL]]+Twirling_Solo_Program28910111213141516171819202223242526272829303134[[#This Row],[J3 TOTAL]]+Twirling_Solo_Program28910111213141516171819202223242526272829303134[[#This Row],[J4 TOTAL]])</f>
        <v>58.7</v>
      </c>
      <c r="Y4" s="50"/>
      <c r="Z4" s="50"/>
      <c r="AA4" s="50">
        <f>Twirling_Solo_Program28910111213141516171819202223242526272829303134[[#This Row],[Total]]</f>
        <v>58.7</v>
      </c>
      <c r="AB4" s="59">
        <f t="shared" si="0"/>
        <v>30.75</v>
      </c>
      <c r="AC4" s="51">
        <f>Twirling_Solo_Program28910111213141516171819202223242526272829303134[[#This Row],[Final Total]]</f>
        <v>58.7</v>
      </c>
      <c r="AD4" s="60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Row],[Category]],Twirling_Solo_Program28910111213141516171819202223242526272829303134[FINAL SCORE],"&gt;"&amp;Twirling_Solo_Program28910111213141516171819202223242526272829303134[[#This Row],[FINAL SCORE]])+1</f>
        <v>3</v>
      </c>
      <c r="AE4" s="55" t="s">
        <v>51</v>
      </c>
    </row>
    <row r="5" spans="1:50" ht="15.6" x14ac:dyDescent="0.3">
      <c r="A5" s="56">
        <v>76</v>
      </c>
      <c r="B5" s="63">
        <v>2</v>
      </c>
      <c r="C5" s="44" t="s">
        <v>62</v>
      </c>
      <c r="D5" s="57" t="s">
        <v>28</v>
      </c>
      <c r="E5" s="57" t="s">
        <v>115</v>
      </c>
      <c r="F5" s="57" t="s">
        <v>41</v>
      </c>
      <c r="G5" s="57" t="s">
        <v>26</v>
      </c>
      <c r="H5" s="46">
        <v>29</v>
      </c>
      <c r="I5" s="47">
        <v>0.6</v>
      </c>
      <c r="J5" s="48">
        <f>Twirling_Solo_Program28910111213141516171819202223242526272829303134[[#This Row],[Judge 1
Tamara Beljak]]-I5</f>
        <v>28.4</v>
      </c>
      <c r="K5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Row],[Category]],Twirling_Solo_Program28910111213141516171819202223242526272829303134[J1 TOTAL],"&gt;"&amp;Twirling_Solo_Program28910111213141516171819202223242526272829303134[[#This Row],[J1 TOTAL]])+1</f>
        <v>4</v>
      </c>
      <c r="L5" s="46"/>
      <c r="M5" s="47"/>
      <c r="N5" s="48">
        <f>Twirling_Solo_Program28910111213141516171819202223242526272829303134[[#This Row],[Judge 2
Tihomir Bendelja]]-Twirling_Solo_Program28910111213141516171819202223242526272829303134[[#This Row],[J2 (-)]]</f>
        <v>0</v>
      </c>
      <c r="O5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Row],[Category]],Twirling_Solo_Program28910111213141516171819202223242526272829303134[J2 TOTAL],"&gt;"&amp;Twirling_Solo_Program28910111213141516171819202223242526272829303134[[#This Row],[J2 TOTAL]])+1</f>
        <v>1</v>
      </c>
      <c r="P5" s="46">
        <v>28.5</v>
      </c>
      <c r="Q5" s="47">
        <v>0.6</v>
      </c>
      <c r="R5" s="48">
        <f>Twirling_Solo_Program28910111213141516171819202223242526272829303134[[#This Row],[Judge 3
Lucija Ljubičić]]-Q5</f>
        <v>27.9</v>
      </c>
      <c r="S5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Row],[Category]],Twirling_Solo_Program28910111213141516171819202223242526272829303134[J3 TOTAL],"&gt;"&amp;Twirling_Solo_Program28910111213141516171819202223242526272829303134[[#This Row],[J3 TOTAL]])+1</f>
        <v>4</v>
      </c>
      <c r="T5" s="46"/>
      <c r="U5" s="47"/>
      <c r="V5" s="48">
        <f>Twirling_Solo_Program28910111213141516171819202223242526272829303134[[#This Row],[Judge 4
Bernard Barač]]-U5</f>
        <v>0</v>
      </c>
      <c r="W5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Row],[Category]],Twirling_Solo_Program28910111213141516171819202223242526272829303134[J4 TOTAL],"&gt;"&amp;Twirling_Solo_Program28910111213141516171819202223242526272829303134[[#This Row],[J4 TOTAL]])+1</f>
        <v>1</v>
      </c>
      <c r="X5" s="62">
        <f>SUM(Twirling_Solo_Program28910111213141516171819202223242526272829303134[[#This Row],[J1 TOTAL]]+Twirling_Solo_Program28910111213141516171819202223242526272829303134[[#This Row],[J2 TOTAL]]+Twirling_Solo_Program28910111213141516171819202223242526272829303134[[#This Row],[J3 TOTAL]]+Twirling_Solo_Program28910111213141516171819202223242526272829303134[[#This Row],[J4 TOTAL]])</f>
        <v>56.3</v>
      </c>
      <c r="Y5" s="50"/>
      <c r="Z5" s="50"/>
      <c r="AA5" s="50">
        <f>Twirling_Solo_Program28910111213141516171819202223242526272829303134[[#This Row],[Total]]</f>
        <v>56.3</v>
      </c>
      <c r="AB5" s="59">
        <f t="shared" si="0"/>
        <v>28.75</v>
      </c>
      <c r="AC5" s="51">
        <f>Twirling_Solo_Program28910111213141516171819202223242526272829303134[[#This Row],[Final Total]]</f>
        <v>56.3</v>
      </c>
      <c r="AD5" s="60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Row],[Category]],Twirling_Solo_Program28910111213141516171819202223242526272829303134[FINAL SCORE],"&gt;"&amp;Twirling_Solo_Program28910111213141516171819202223242526272829303134[[#This Row],[FINAL SCORE]])+1</f>
        <v>4</v>
      </c>
      <c r="AE5" s="55" t="s">
        <v>51</v>
      </c>
    </row>
    <row r="6" spans="1:50" ht="15.6" x14ac:dyDescent="0.3">
      <c r="A6" s="56">
        <v>82</v>
      </c>
      <c r="B6" s="63">
        <v>2</v>
      </c>
      <c r="C6" s="44" t="s">
        <v>62</v>
      </c>
      <c r="D6" s="57" t="s">
        <v>28</v>
      </c>
      <c r="E6" s="57" t="s">
        <v>92</v>
      </c>
      <c r="F6" s="57" t="s">
        <v>44</v>
      </c>
      <c r="G6" s="57" t="s">
        <v>30</v>
      </c>
      <c r="H6" s="46">
        <v>21.6</v>
      </c>
      <c r="I6" s="47">
        <v>0.6</v>
      </c>
      <c r="J6" s="48">
        <f>Twirling_Solo_Program28910111213141516171819202223242526272829303134[[#This Row],[Judge 1
Tamara Beljak]]-I6</f>
        <v>21</v>
      </c>
      <c r="K6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Row],[Category]],Twirling_Solo_Program28910111213141516171819202223242526272829303134[J1 TOTAL],"&gt;"&amp;Twirling_Solo_Program28910111213141516171819202223242526272829303134[[#This Row],[J1 TOTAL]])+1</f>
        <v>5</v>
      </c>
      <c r="L6" s="46"/>
      <c r="M6" s="47"/>
      <c r="N6" s="48">
        <f>Twirling_Solo_Program28910111213141516171819202223242526272829303134[[#This Row],[Judge 2
Tihomir Bendelja]]-Twirling_Solo_Program28910111213141516171819202223242526272829303134[[#This Row],[J2 (-)]]</f>
        <v>0</v>
      </c>
      <c r="O6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Row],[Category]],Twirling_Solo_Program28910111213141516171819202223242526272829303134[J2 TOTAL],"&gt;"&amp;Twirling_Solo_Program28910111213141516171819202223242526272829303134[[#This Row],[J2 TOTAL]])+1</f>
        <v>1</v>
      </c>
      <c r="P6" s="46">
        <v>22</v>
      </c>
      <c r="Q6" s="47">
        <v>0.7</v>
      </c>
      <c r="R6" s="48">
        <f>Twirling_Solo_Program28910111213141516171819202223242526272829303134[[#This Row],[Judge 3
Lucija Ljubičić]]-Q6</f>
        <v>21.3</v>
      </c>
      <c r="S6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Row],[Category]],Twirling_Solo_Program28910111213141516171819202223242526272829303134[J3 TOTAL],"&gt;"&amp;Twirling_Solo_Program28910111213141516171819202223242526272829303134[[#This Row],[J3 TOTAL]])+1</f>
        <v>5</v>
      </c>
      <c r="T6" s="46"/>
      <c r="U6" s="47"/>
      <c r="V6" s="48">
        <f>Twirling_Solo_Program28910111213141516171819202223242526272829303134[[#This Row],[Judge 4
Bernard Barač]]-U6</f>
        <v>0</v>
      </c>
      <c r="W6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Row],[Category]],Twirling_Solo_Program28910111213141516171819202223242526272829303134[J4 TOTAL],"&gt;"&amp;Twirling_Solo_Program28910111213141516171819202223242526272829303134[[#This Row],[J4 TOTAL]])+1</f>
        <v>1</v>
      </c>
      <c r="X6" s="62">
        <f>SUM(Twirling_Solo_Program28910111213141516171819202223242526272829303134[[#This Row],[J1 TOTAL]]+Twirling_Solo_Program28910111213141516171819202223242526272829303134[[#This Row],[J2 TOTAL]]+Twirling_Solo_Program28910111213141516171819202223242526272829303134[[#This Row],[J3 TOTAL]]+Twirling_Solo_Program28910111213141516171819202223242526272829303134[[#This Row],[J4 TOTAL]])</f>
        <v>42.3</v>
      </c>
      <c r="Y6" s="50"/>
      <c r="Z6" s="50"/>
      <c r="AA6" s="50">
        <f>Twirling_Solo_Program28910111213141516171819202223242526272829303134[[#This Row],[Total]]</f>
        <v>42.3</v>
      </c>
      <c r="AB6" s="59">
        <f t="shared" si="0"/>
        <v>21.8</v>
      </c>
      <c r="AC6" s="51">
        <f>Twirling_Solo_Program28910111213141516171819202223242526272829303134[[#This Row],[Final Total]]</f>
        <v>42.3</v>
      </c>
      <c r="AD6" s="60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Row],[Category]],Twirling_Solo_Program28910111213141516171819202223242526272829303134[FINAL SCORE],"&gt;"&amp;Twirling_Solo_Program28910111213141516171819202223242526272829303134[[#This Row],[FINAL SCORE]])+1</f>
        <v>5</v>
      </c>
      <c r="AE6" s="55" t="s">
        <v>51</v>
      </c>
    </row>
    <row r="7" spans="1:50" ht="15.6" x14ac:dyDescent="0.3">
      <c r="A7" s="56">
        <v>78</v>
      </c>
      <c r="B7" s="63">
        <v>2</v>
      </c>
      <c r="C7" s="44" t="s">
        <v>62</v>
      </c>
      <c r="D7" s="57" t="s">
        <v>28</v>
      </c>
      <c r="E7" s="57" t="s">
        <v>117</v>
      </c>
      <c r="F7" s="57" t="s">
        <v>40</v>
      </c>
      <c r="G7" s="57" t="s">
        <v>26</v>
      </c>
      <c r="H7" s="46">
        <v>18.2</v>
      </c>
      <c r="I7" s="47">
        <v>2.2999999999999998</v>
      </c>
      <c r="J7" s="48">
        <f>Twirling_Solo_Program28910111213141516171819202223242526272829303134[[#This Row],[Judge 1
Tamara Beljak]]-I7</f>
        <v>15.899999999999999</v>
      </c>
      <c r="K7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Row],[Category]],Twirling_Solo_Program28910111213141516171819202223242526272829303134[J1 TOTAL],"&gt;"&amp;Twirling_Solo_Program28910111213141516171819202223242526272829303134[[#This Row],[J1 TOTAL]])+1</f>
        <v>6</v>
      </c>
      <c r="L7" s="46"/>
      <c r="M7" s="47"/>
      <c r="N7" s="48">
        <f>Twirling_Solo_Program28910111213141516171819202223242526272829303134[[#This Row],[Judge 2
Tihomir Bendelja]]-Twirling_Solo_Program28910111213141516171819202223242526272829303134[[#This Row],[J2 (-)]]</f>
        <v>0</v>
      </c>
      <c r="O7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Row],[Category]],Twirling_Solo_Program28910111213141516171819202223242526272829303134[J2 TOTAL],"&gt;"&amp;Twirling_Solo_Program28910111213141516171819202223242526272829303134[[#This Row],[J2 TOTAL]])+1</f>
        <v>1</v>
      </c>
      <c r="P7" s="46">
        <v>16.5</v>
      </c>
      <c r="Q7" s="47">
        <v>2.4</v>
      </c>
      <c r="R7" s="48">
        <f>Twirling_Solo_Program28910111213141516171819202223242526272829303134[[#This Row],[Judge 3
Lucija Ljubičić]]-Q7</f>
        <v>14.1</v>
      </c>
      <c r="S7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Row],[Category]],Twirling_Solo_Program28910111213141516171819202223242526272829303134[J3 TOTAL],"&gt;"&amp;Twirling_Solo_Program28910111213141516171819202223242526272829303134[[#This Row],[J3 TOTAL]])+1</f>
        <v>6</v>
      </c>
      <c r="T7" s="46"/>
      <c r="U7" s="47"/>
      <c r="V7" s="48">
        <f>Twirling_Solo_Program28910111213141516171819202223242526272829303134[[#This Row],[Judge 4
Bernard Barač]]-U7</f>
        <v>0</v>
      </c>
      <c r="W7" s="49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Row],[Category]],Twirling_Solo_Program28910111213141516171819202223242526272829303134[J4 TOTAL],"&gt;"&amp;Twirling_Solo_Program28910111213141516171819202223242526272829303134[[#This Row],[J4 TOTAL]])+1</f>
        <v>1</v>
      </c>
      <c r="X7" s="62">
        <f>SUM(Twirling_Solo_Program28910111213141516171819202223242526272829303134[[#This Row],[J1 TOTAL]]+Twirling_Solo_Program28910111213141516171819202223242526272829303134[[#This Row],[J2 TOTAL]]+Twirling_Solo_Program28910111213141516171819202223242526272829303134[[#This Row],[J3 TOTAL]]+Twirling_Solo_Program28910111213141516171819202223242526272829303134[[#This Row],[J4 TOTAL]])</f>
        <v>30</v>
      </c>
      <c r="Y7" s="50"/>
      <c r="Z7" s="50"/>
      <c r="AA7" s="50">
        <f>Twirling_Solo_Program28910111213141516171819202223242526272829303134[[#This Row],[Total]]</f>
        <v>30</v>
      </c>
      <c r="AB7" s="59">
        <f t="shared" si="0"/>
        <v>17.350000000000001</v>
      </c>
      <c r="AC7" s="51">
        <f>Twirling_Solo_Program28910111213141516171819202223242526272829303134[[#This Row],[Final Total]]</f>
        <v>30</v>
      </c>
      <c r="AD7" s="60">
        <f>COUNTIFS(Twirling_Solo_Program28910111213141516171819202223242526272829303134[Age
Division],Twirling_Solo_Program28910111213141516171819202223242526272829303134[[#This Row],[Age
Division]],Twirling_Solo_Program28910111213141516171819202223242526272829303134[Category],Twirling_Solo_Program28910111213141516171819202223242526272829303134[[#This Row],[Category]],Twirling_Solo_Program28910111213141516171819202223242526272829303134[FINAL SCORE],"&gt;"&amp;Twirling_Solo_Program28910111213141516171819202223242526272829303134[[#This Row],[FINAL SCORE]])+1</f>
        <v>6</v>
      </c>
      <c r="AE7" s="55" t="s">
        <v>51</v>
      </c>
    </row>
  </sheetData>
  <sheetProtection algorithmName="SHA-512" hashValue="1DZhqejkoXmjmO6JYVm2DFgdBjqGNPdu7DrCzw/C7n39oZhcqrKLrx6rW6ByPjNNepHXfSW3rliry7OsjCIjFA==" saltValue="Q0JuxZAzkGV34ZmBq5JTSQ==" spinCount="100000" sheet="1" objects="1" scenarios="1" formatColumns="0" formatRows="0" autoFilter="0"/>
  <phoneticPr fontId="7" type="noConversion"/>
  <pageMargins left="0.7" right="0.7" top="0.75" bottom="0.75" header="0.3" footer="0.3"/>
  <pageSetup orientation="landscape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1.21875" style="43" customWidth="1"/>
    <col min="4" max="4" width="8.33203125" style="53" customWidth="1"/>
    <col min="5" max="5" width="40.77734375" style="45" hidden="1" customWidth="1"/>
    <col min="6" max="6" width="49.10937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43">
        <v>3</v>
      </c>
      <c r="C2" s="44" t="s">
        <v>23</v>
      </c>
      <c r="D2" s="44" t="s">
        <v>28</v>
      </c>
      <c r="E2" s="44"/>
      <c r="F2" s="44" t="s">
        <v>31</v>
      </c>
      <c r="G2" s="45" t="s">
        <v>32</v>
      </c>
      <c r="H2" s="46">
        <v>80.5</v>
      </c>
      <c r="I2" s="47">
        <v>1.5</v>
      </c>
      <c r="J2" s="48">
        <f>Twirling_Solo_Program2[[#This Row],[Judge 1
Tamara Beljak]]-I2</f>
        <v>79</v>
      </c>
      <c r="K2" s="49">
        <f>COUNTIFS(Twirling_Solo_Program2[Age
Division],Twirling_Solo_Program2[[#This Row],[Age
Division]],Twirling_Solo_Program2[Category],Twirling_Solo_Program2[[#This Row],[Category]],Twirling_Solo_Program2[J1 TOTAL],"&gt;"&amp;Twirling_Solo_Program2[[#This Row],[J1 TOTAL]])+1</f>
        <v>1</v>
      </c>
      <c r="L2" s="46">
        <v>75.099999999999994</v>
      </c>
      <c r="M2" s="47">
        <v>1.5</v>
      </c>
      <c r="N2" s="48">
        <f>Twirling_Solo_Program2[[#This Row],[Judge 2
Tihomir Bendelja]]-Twirling_Solo_Program2[[#This Row],[J2 (-)]]</f>
        <v>73.599999999999994</v>
      </c>
      <c r="O2" s="49">
        <f>COUNTIFS(Twirling_Solo_Program2[Age
Division],Twirling_Solo_Program2[[#This Row],[Age
Division]],Twirling_Solo_Program2[Category],Twirling_Solo_Program2[[#This Row],[Category]],Twirling_Solo_Program2[J2 TOTAL],"&gt;"&amp;Twirling_Solo_Program2[[#This Row],[J2 TOTAL]])+1</f>
        <v>1</v>
      </c>
      <c r="P2" s="46">
        <v>74</v>
      </c>
      <c r="Q2" s="47">
        <v>1.7</v>
      </c>
      <c r="R2" s="48">
        <f>Twirling_Solo_Program2[[#This Row],[Judge 3
Lucija Ljubičić]]-Q2</f>
        <v>72.3</v>
      </c>
      <c r="S2" s="49">
        <f>COUNTIFS(Twirling_Solo_Program2[Age
Division],Twirling_Solo_Program2[[#This Row],[Age
Division]],Twirling_Solo_Program2[Category],Twirling_Solo_Program2[[#This Row],[Category]],Twirling_Solo_Program2[J3 TOTAL],"&gt;"&amp;Twirling_Solo_Program2[[#This Row],[J3 TOTAL]])+1</f>
        <v>1</v>
      </c>
      <c r="T2" s="46">
        <v>82</v>
      </c>
      <c r="U2" s="47">
        <v>2.1</v>
      </c>
      <c r="V2" s="48">
        <f>Twirling_Solo_Program2[[#This Row],[Judge 4
Bernard Barač]]-U2</f>
        <v>79.900000000000006</v>
      </c>
      <c r="W2" s="49">
        <f>COUNTIFS(Twirling_Solo_Program2[Age
Division],Twirling_Solo_Program2[[#This Row],[Age
Division]],Twirling_Solo_Program2[Category],Twirling_Solo_Program2[[#This Row],[Category]],Twirling_Solo_Program2[J4 TOTAL],"&gt;"&amp;Twirling_Solo_Program2[[#This Row],[J4 TOTAL]])+1</f>
        <v>1</v>
      </c>
      <c r="X2" s="50">
        <f>SUM(Twirling_Solo_Program2[[#This Row],[J1 TOTAL]]+Twirling_Solo_Program2[[#This Row],[J2 TOTAL]]+Twirling_Solo_Program2[[#This Row],[J3 TOTAL]]+Twirling_Solo_Program2[[#This Row],[J4 TOTAL]])</f>
        <v>304.79999999999995</v>
      </c>
      <c r="Y2" s="50">
        <f>MIN(Twirling_Solo_Program2[[#This Row],[J1 TOTAL]],Twirling_Solo_Program2[[#This Row],[J2 TOTAL]],Twirling_Solo_Program2[[#This Row],[J3 TOTAL]],Twirling_Solo_Program2[[#This Row],[J4 TOTAL]])</f>
        <v>72.3</v>
      </c>
      <c r="Z2" s="50">
        <f>MAX(Twirling_Solo_Program2[[#This Row],[J1 TOTAL]],Twirling_Solo_Program2[[#This Row],[J2 TOTAL]],Twirling_Solo_Program2[[#This Row],[J3 TOTAL]],Twirling_Solo_Program2[[#This Row],[J4 TOTAL]])</f>
        <v>79.900000000000006</v>
      </c>
      <c r="AA2" s="50">
        <f>SUM(Twirling_Solo_Program2[[#This Row],[Total]]-Twirling_Solo_Program2[[#This Row],[Low]]-Twirling_Solo_Program2[[#This Row],[High]])</f>
        <v>152.59999999999994</v>
      </c>
      <c r="AB2" s="50">
        <f>AVERAGE(H2,L2,P2,T2)</f>
        <v>77.900000000000006</v>
      </c>
      <c r="AC2" s="51">
        <f>Twirling_Solo_Program2[[#This Row],[Final Total]]</f>
        <v>152.59999999999994</v>
      </c>
      <c r="AD2" s="52">
        <f>COUNTIFS(Twirling_Solo_Program2[Age
Division],Twirling_Solo_Program2[[#This Row],[Age
Division]],Twirling_Solo_Program2[Category],Twirling_Solo_Program2[[#This Row],[Category]],Twirling_Solo_Program2[FINAL SCORE],"&gt;"&amp;Twirling_Solo_Program2[[#This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43">
        <v>2</v>
      </c>
      <c r="C3" s="44" t="s">
        <v>23</v>
      </c>
      <c r="D3" s="44" t="s">
        <v>28</v>
      </c>
      <c r="E3" s="44"/>
      <c r="F3" s="44" t="s">
        <v>29</v>
      </c>
      <c r="G3" s="45" t="s">
        <v>30</v>
      </c>
      <c r="H3" s="46">
        <v>83.5</v>
      </c>
      <c r="I3" s="47">
        <v>6</v>
      </c>
      <c r="J3" s="48">
        <f>Twirling_Solo_Program2[[#This Row],[Judge 1
Tamara Beljak]]-I3</f>
        <v>77.5</v>
      </c>
      <c r="K3" s="49">
        <f>COUNTIFS(Twirling_Solo_Program2[Age
Division],Twirling_Solo_Program2[[#This Row],[Age
Division]],Twirling_Solo_Program2[Category],Twirling_Solo_Program2[[#This Row],[Category]],Twirling_Solo_Program2[J1 TOTAL],"&gt;"&amp;Twirling_Solo_Program2[[#This Row],[J1 TOTAL]])+1</f>
        <v>2</v>
      </c>
      <c r="L3" s="46">
        <v>75.900000000000006</v>
      </c>
      <c r="M3" s="47">
        <v>6</v>
      </c>
      <c r="N3" s="48">
        <f>Twirling_Solo_Program2[[#This Row],[Judge 2
Tihomir Bendelja]]-Twirling_Solo_Program2[[#This Row],[J2 (-)]]</f>
        <v>69.900000000000006</v>
      </c>
      <c r="O3" s="49">
        <f>COUNTIFS(Twirling_Solo_Program2[Age
Division],Twirling_Solo_Program2[[#This Row],[Age
Division]],Twirling_Solo_Program2[Category],Twirling_Solo_Program2[[#This Row],[Category]],Twirling_Solo_Program2[J2 TOTAL],"&gt;"&amp;Twirling_Solo_Program2[[#This Row],[J2 TOTAL]])+1</f>
        <v>2</v>
      </c>
      <c r="P3" s="46">
        <v>76</v>
      </c>
      <c r="Q3" s="47">
        <v>6.5</v>
      </c>
      <c r="R3" s="48">
        <f>Twirling_Solo_Program2[[#This Row],[Judge 3
Lucija Ljubičić]]-Q3</f>
        <v>69.5</v>
      </c>
      <c r="S3" s="49">
        <f>COUNTIFS(Twirling_Solo_Program2[Age
Division],Twirling_Solo_Program2[[#This Row],[Age
Division]],Twirling_Solo_Program2[Category],Twirling_Solo_Program2[[#This Row],[Category]],Twirling_Solo_Program2[J3 TOTAL],"&gt;"&amp;Twirling_Solo_Program2[[#This Row],[J3 TOTAL]])+1</f>
        <v>2</v>
      </c>
      <c r="T3" s="46">
        <v>82.5</v>
      </c>
      <c r="U3" s="47">
        <v>6.1</v>
      </c>
      <c r="V3" s="48">
        <f>Twirling_Solo_Program2[[#This Row],[Judge 4
Bernard Barač]]-U3</f>
        <v>76.400000000000006</v>
      </c>
      <c r="W3" s="49">
        <f>COUNTIFS(Twirling_Solo_Program2[Age
Division],Twirling_Solo_Program2[[#This Row],[Age
Division]],Twirling_Solo_Program2[Category],Twirling_Solo_Program2[[#This Row],[Category]],Twirling_Solo_Program2[J4 TOTAL],"&gt;"&amp;Twirling_Solo_Program2[[#This Row],[J4 TOTAL]])+1</f>
        <v>2</v>
      </c>
      <c r="X3" s="50">
        <f>SUM(Twirling_Solo_Program2[[#This Row],[J1 TOTAL]]+Twirling_Solo_Program2[[#This Row],[J2 TOTAL]]+Twirling_Solo_Program2[[#This Row],[J3 TOTAL]]+Twirling_Solo_Program2[[#This Row],[J4 TOTAL]])</f>
        <v>293.3</v>
      </c>
      <c r="Y3" s="50">
        <f>MIN(Twirling_Solo_Program2[[#This Row],[J1 TOTAL]],Twirling_Solo_Program2[[#This Row],[J2 TOTAL]],Twirling_Solo_Program2[[#This Row],[J3 TOTAL]],Twirling_Solo_Program2[[#This Row],[J4 TOTAL]])</f>
        <v>69.5</v>
      </c>
      <c r="Z3" s="50">
        <f>MAX(Twirling_Solo_Program2[[#This Row],[J1 TOTAL]],Twirling_Solo_Program2[[#This Row],[J2 TOTAL]],Twirling_Solo_Program2[[#This Row],[J3 TOTAL]],Twirling_Solo_Program2[[#This Row],[J4 TOTAL]])</f>
        <v>77.5</v>
      </c>
      <c r="AA3" s="50">
        <f>SUM(Twirling_Solo_Program2[[#This Row],[Total]]-Twirling_Solo_Program2[[#This Row],[Low]]-Twirling_Solo_Program2[[#This Row],[High]])</f>
        <v>146.30000000000001</v>
      </c>
      <c r="AB3" s="50">
        <f>AVERAGE(H3,L3,P3,T3)</f>
        <v>79.474999999999994</v>
      </c>
      <c r="AC3" s="51">
        <f>Twirling_Solo_Program2[[#This Row],[Final Total]]</f>
        <v>146.30000000000001</v>
      </c>
      <c r="AD3" s="52">
        <f>COUNTIFS(Twirling_Solo_Program2[Age
Division],Twirling_Solo_Program2[[#This Row],[Age
Division]],Twirling_Solo_Program2[Category],Twirling_Solo_Program2[[#This Row],[Category]],Twirling_Solo_Program2[FINAL SCORE],"&gt;"&amp;Twirling_Solo_Program2[[#This Row],[FINAL SCORE]])+1</f>
        <v>2</v>
      </c>
      <c r="AE3" s="55" t="s">
        <v>27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</row>
    <row r="4" spans="1:50" x14ac:dyDescent="0.3">
      <c r="X4" s="45"/>
    </row>
  </sheetData>
  <sheetProtection algorithmName="SHA-512" hashValue="9G6LytRwsej4lv6vdiNkBPAUM5QveLVi6VaIai6She+KdeobPqamkms++8X+NQgYQ39RY2GEj5xbR/IXnjCn9Q==" saltValue="3CZo6P6QGu2XG5AvcbPWU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20.5546875" style="43" customWidth="1"/>
    <col min="4" max="4" width="7.77734375" style="53" customWidth="1"/>
    <col min="5" max="5" width="40.77734375" style="45" hidden="1" customWidth="1"/>
    <col min="6" max="6" width="46.2187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43">
        <v>4</v>
      </c>
      <c r="C2" s="44" t="s">
        <v>23</v>
      </c>
      <c r="D2" s="44" t="s">
        <v>33</v>
      </c>
      <c r="E2" s="44"/>
      <c r="F2" s="44" t="s">
        <v>25</v>
      </c>
      <c r="G2" s="45" t="s">
        <v>26</v>
      </c>
      <c r="H2" s="46">
        <v>76.5</v>
      </c>
      <c r="I2" s="47">
        <v>2.5</v>
      </c>
      <c r="J2" s="48">
        <f>Twirling_Solo_Program28[[#This Row],[Judge 1
Tamara Beljak]]-I2</f>
        <v>74</v>
      </c>
      <c r="K2" s="49">
        <f>COUNTIFS(Twirling_Solo_Program28[Age
Division],Twirling_Solo_Program28[[#This Row],[Age
Division]],Twirling_Solo_Program28[Category],Twirling_Solo_Program28[[#This Row],[Category]],Twirling_Solo_Program28[J1 TOTAL],"&gt;"&amp;Twirling_Solo_Program28[[#This Row],[J1 TOTAL]])+1</f>
        <v>1</v>
      </c>
      <c r="L2" s="46">
        <v>86.3</v>
      </c>
      <c r="M2" s="47">
        <v>2</v>
      </c>
      <c r="N2" s="48">
        <f>Twirling_Solo_Program28[[#This Row],[Judge 2
Tihomir Bendelja]]-Twirling_Solo_Program28[[#This Row],[J2 (-)]]</f>
        <v>84.3</v>
      </c>
      <c r="O2" s="49">
        <f>COUNTIFS(Twirling_Solo_Program28[Age
Division],Twirling_Solo_Program28[[#This Row],[Age
Division]],Twirling_Solo_Program28[Category],Twirling_Solo_Program28[[#This Row],[Category]],Twirling_Solo_Program28[J2 TOTAL],"&gt;"&amp;Twirling_Solo_Program28[[#This Row],[J2 TOTAL]])+1</f>
        <v>1</v>
      </c>
      <c r="P2" s="46">
        <v>82</v>
      </c>
      <c r="Q2" s="47">
        <v>2.2999999999999998</v>
      </c>
      <c r="R2" s="48">
        <f>Twirling_Solo_Program28[[#This Row],[Judge 3
Lucija Ljubičić]]-Q2</f>
        <v>79.7</v>
      </c>
      <c r="S2" s="49">
        <f>COUNTIFS(Twirling_Solo_Program28[Age
Division],Twirling_Solo_Program28[[#This Row],[Age
Division]],Twirling_Solo_Program28[Category],Twirling_Solo_Program28[[#This Row],[Category]],Twirling_Solo_Program28[J3 TOTAL],"&gt;"&amp;Twirling_Solo_Program28[[#This Row],[J3 TOTAL]])+1</f>
        <v>1</v>
      </c>
      <c r="T2" s="46">
        <v>84.6</v>
      </c>
      <c r="U2" s="47">
        <v>2.1</v>
      </c>
      <c r="V2" s="48">
        <f>Twirling_Solo_Program28[[#This Row],[Judge 4
Bernard Barač]]-U2</f>
        <v>82.5</v>
      </c>
      <c r="W2" s="49">
        <f>COUNTIFS(Twirling_Solo_Program28[Age
Division],Twirling_Solo_Program28[[#This Row],[Age
Division]],Twirling_Solo_Program28[Category],Twirling_Solo_Program28[[#This Row],[Category]],Twirling_Solo_Program28[J4 TOTAL],"&gt;"&amp;Twirling_Solo_Program28[[#This Row],[J4 TOTAL]])+1</f>
        <v>1</v>
      </c>
      <c r="X2" s="50">
        <f>SUM(Twirling_Solo_Program28[[#This Row],[J1 TOTAL]]+Twirling_Solo_Program28[[#This Row],[J2 TOTAL]]+Twirling_Solo_Program28[[#This Row],[J3 TOTAL]]+Twirling_Solo_Program28[[#This Row],[J4 TOTAL]])</f>
        <v>320.5</v>
      </c>
      <c r="Y2" s="50">
        <f>MIN(Twirling_Solo_Program28[[#This Row],[J1 TOTAL]],Twirling_Solo_Program28[[#This Row],[J2 TOTAL]],Twirling_Solo_Program28[[#This Row],[J3 TOTAL]],Twirling_Solo_Program28[[#This Row],[J4 TOTAL]])</f>
        <v>74</v>
      </c>
      <c r="Z2" s="50">
        <f>MAX(Twirling_Solo_Program28[[#This Row],[J1 TOTAL]],Twirling_Solo_Program28[[#This Row],[J2 TOTAL]],Twirling_Solo_Program28[[#This Row],[J3 TOTAL]],Twirling_Solo_Program28[[#This Row],[J4 TOTAL]])</f>
        <v>84.3</v>
      </c>
      <c r="AA2" s="50">
        <f>SUM(Twirling_Solo_Program28[[#This Row],[Total]]-Twirling_Solo_Program28[[#This Row],[Low]]-Twirling_Solo_Program28[[#This Row],[High]])</f>
        <v>162.19999999999999</v>
      </c>
      <c r="AB2" s="50">
        <f>AVERAGE(H2,L2,P2,T2)</f>
        <v>82.35</v>
      </c>
      <c r="AC2" s="51">
        <f>Twirling_Solo_Program28[[#This Row],[Final Total]]</f>
        <v>162.19999999999999</v>
      </c>
      <c r="AD2" s="52">
        <f>COUNTIFS(Twirling_Solo_Program28[Age
Division],Twirling_Solo_Program28[[#This Row],[Age
Division]],Twirling_Solo_Program28[Category],Twirling_Solo_Program28[[#This Row],[Category]],Twirling_Solo_Program28[FINAL SCORE],"&gt;"&amp;Twirling_Solo_Program28[[#This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x14ac:dyDescent="0.3">
      <c r="X3" s="45"/>
    </row>
  </sheetData>
  <sheetProtection algorithmName="SHA-512" hashValue="Y2tmVwlGiHl8FM1zvt0QXnf4GBtGxJSUPoXeuSWmCuY/tnKLVLyrnawyY3hLKg6i+CHr6sxHcz2MNWm8rTcg2w==" saltValue="Y2syxLCIapMFpn4HH+zuc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X2"/>
  <sheetViews>
    <sheetView zoomScale="80" zoomScaleNormal="80" workbookViewId="0">
      <pane ySplit="1" topLeftCell="A2" activePane="bottomLeft" state="frozen"/>
      <selection pane="bottomLeft" activeCell="X2" sqref="X2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15.5546875" style="43" customWidth="1"/>
    <col min="4" max="4" width="10.21875" style="53" customWidth="1"/>
    <col min="5" max="5" width="40.77734375" style="45" hidden="1" customWidth="1"/>
    <col min="6" max="6" width="36.10937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18</v>
      </c>
      <c r="B2" s="44"/>
      <c r="C2" s="44" t="s">
        <v>42</v>
      </c>
      <c r="D2" s="44" t="s">
        <v>24</v>
      </c>
      <c r="E2" s="44"/>
      <c r="F2" s="44" t="s">
        <v>43</v>
      </c>
      <c r="G2" s="45" t="s">
        <v>26</v>
      </c>
      <c r="H2" s="46">
        <v>62</v>
      </c>
      <c r="I2" s="47">
        <v>0.4</v>
      </c>
      <c r="J2" s="48">
        <f>Twirling_Solo_Program28910111213141516[[#This Row],[Judge 1
Tamara Beljak]]-I2</f>
        <v>61.6</v>
      </c>
      <c r="K2" s="49">
        <f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Row],[Category]],Twirling_Solo_Program28910111213141516[J1 TOTAL],"&gt;"&amp;Twirling_Solo_Program28910111213141516[[#This Row],[J1 TOTAL]])+1</f>
        <v>1</v>
      </c>
      <c r="L2" s="46">
        <v>62</v>
      </c>
      <c r="M2" s="47">
        <v>0</v>
      </c>
      <c r="N2" s="48">
        <f>Twirling_Solo_Program28910111213141516[[#This Row],[Judge 2
Tihomir Bendelja]]-Twirling_Solo_Program28910111213141516[[#This Row],[J2 (-)]]</f>
        <v>62</v>
      </c>
      <c r="O2" s="49">
        <f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Row],[Category]],Twirling_Solo_Program28910111213141516[J2 TOTAL],"&gt;"&amp;Twirling_Solo_Program28910111213141516[[#This Row],[J2 TOTAL]])+1</f>
        <v>1</v>
      </c>
      <c r="P2" s="46">
        <v>64</v>
      </c>
      <c r="Q2" s="47">
        <v>0.1</v>
      </c>
      <c r="R2" s="48">
        <f>Twirling_Solo_Program28910111213141516[[#This Row],[Judge 3
Lucija Ljubičić]]-Q2</f>
        <v>63.9</v>
      </c>
      <c r="S2" s="49">
        <f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Row],[Category]],Twirling_Solo_Program28910111213141516[J3 TOTAL],"&gt;"&amp;Twirling_Solo_Program28910111213141516[[#This Row],[J3 TOTAL]])+1</f>
        <v>1</v>
      </c>
      <c r="T2" s="46">
        <v>62.2</v>
      </c>
      <c r="U2" s="47">
        <v>0.2</v>
      </c>
      <c r="V2" s="48">
        <f>Twirling_Solo_Program28910111213141516[[#This Row],[Judge 4
Bernard Barač]]-U2</f>
        <v>62</v>
      </c>
      <c r="W2" s="49">
        <f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Row],[Category]],Twirling_Solo_Program28910111213141516[J4 TOTAL],"&gt;"&amp;Twirling_Solo_Program28910111213141516[[#This Row],[J4 TOTAL]])+1</f>
        <v>1</v>
      </c>
      <c r="X2" s="50">
        <f>SUM(Twirling_Solo_Program28910111213141516[[#This Row],[J1 TOTAL]]+Twirling_Solo_Program28910111213141516[[#This Row],[J2 TOTAL]]+Twirling_Solo_Program28910111213141516[[#This Row],[J3 TOTAL]]+Twirling_Solo_Program28910111213141516[[#This Row],[J4 TOTAL]])</f>
        <v>249.5</v>
      </c>
      <c r="Y2" s="50">
        <f>MIN(Twirling_Solo_Program28910111213141516[[#This Row],[J1 TOTAL]],Twirling_Solo_Program28910111213141516[[#This Row],[J2 TOTAL]],Twirling_Solo_Program28910111213141516[[#This Row],[J3 TOTAL]],Twirling_Solo_Program28910111213141516[[#This Row],[J4 TOTAL]])</f>
        <v>61.6</v>
      </c>
      <c r="Z2" s="50">
        <f>MAX(Twirling_Solo_Program28910111213141516[[#This Row],[J1 TOTAL]],Twirling_Solo_Program28910111213141516[[#This Row],[J2 TOTAL]],Twirling_Solo_Program28910111213141516[[#This Row],[J3 TOTAL]],Twirling_Solo_Program28910111213141516[[#This Row],[J4 TOTAL]])</f>
        <v>63.9</v>
      </c>
      <c r="AA2" s="50">
        <f>SUM(Twirling_Solo_Program28910111213141516[[#This Row],[Total]]-Twirling_Solo_Program28910111213141516[[#This Row],[Low]]-Twirling_Solo_Program28910111213141516[[#This Row],[High]])</f>
        <v>124</v>
      </c>
      <c r="AB2" s="50">
        <f>AVERAGE(H2,L2,P2,T2)</f>
        <v>62.55</v>
      </c>
      <c r="AC2" s="51">
        <f>Twirling_Solo_Program28910111213141516[[#This Row],[Final Total]]</f>
        <v>124</v>
      </c>
      <c r="AD2" s="52">
        <f>COUNTIFS(Twirling_Solo_Program28910111213141516[Age
Division],Twirling_Solo_Program28910111213141516[[#This Row],[Age
Division]],Twirling_Solo_Program28910111213141516[Category],Twirling_Solo_Program28910111213141516[[#This Row],[Category]],Twirling_Solo_Program28910111213141516[FINAL SCORE],"&gt;"&amp;Twirling_Solo_Program28910111213141516[[#This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xInkcW2i8Fa5ne6q1c5ehubG9Fml6ySaCtBWwY+1MVusdxaqx9yWbt960vU7DlSUC2LGkuftcNBNNouml31EGw==" saltValue="elqz7TiU4eDksv3IlbuKu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2"/>
  <sheetViews>
    <sheetView zoomScale="80" zoomScaleNormal="80" workbookViewId="0">
      <pane ySplit="1" topLeftCell="A2" activePane="bottomLeft" state="frozen"/>
      <selection pane="bottomLeft"/>
    </sheetView>
  </sheetViews>
  <sheetFormatPr defaultColWidth="9.21875" defaultRowHeight="14.4" x14ac:dyDescent="0.3"/>
  <cols>
    <col min="1" max="1" width="5.44140625" style="43" customWidth="1"/>
    <col min="2" max="2" width="4.44140625" style="43" hidden="1" customWidth="1"/>
    <col min="3" max="3" width="15.6640625" style="43" customWidth="1"/>
    <col min="4" max="4" width="9.21875" style="53" customWidth="1"/>
    <col min="5" max="5" width="40.77734375" style="45" hidden="1" customWidth="1"/>
    <col min="6" max="6" width="41.6640625" style="45" customWidth="1"/>
    <col min="7" max="7" width="7.10937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19</v>
      </c>
      <c r="B2" s="44"/>
      <c r="C2" s="44" t="s">
        <v>42</v>
      </c>
      <c r="D2" s="44" t="s">
        <v>28</v>
      </c>
      <c r="E2" s="44"/>
      <c r="F2" s="44" t="s">
        <v>44</v>
      </c>
      <c r="G2" s="45" t="s">
        <v>30</v>
      </c>
      <c r="H2" s="46">
        <v>56</v>
      </c>
      <c r="I2" s="47">
        <v>2.2000000000000002</v>
      </c>
      <c r="J2" s="48">
        <f>Twirling_Solo_Program2891011121314151617[[#This Row],[Judge 1
Tamara Beljak]]-I2</f>
        <v>53.8</v>
      </c>
      <c r="K2" s="49">
        <f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Row],[Category]],Twirling_Solo_Program2891011121314151617[J1 TOTAL],"&gt;"&amp;Twirling_Solo_Program2891011121314151617[[#This Row],[J1 TOTAL]])+1</f>
        <v>1</v>
      </c>
      <c r="L2" s="46">
        <v>61.7</v>
      </c>
      <c r="M2" s="47">
        <v>0.5</v>
      </c>
      <c r="N2" s="48">
        <f>Twirling_Solo_Program2891011121314151617[[#This Row],[Judge 2
Tihomir Bendelja]]-Twirling_Solo_Program2891011121314151617[[#This Row],[J2 (-)]]</f>
        <v>61.2</v>
      </c>
      <c r="O2" s="49">
        <f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Row],[Category]],Twirling_Solo_Program2891011121314151617[J2 TOTAL],"&gt;"&amp;Twirling_Solo_Program2891011121314151617[[#This Row],[J2 TOTAL]])+1</f>
        <v>1</v>
      </c>
      <c r="P2" s="46">
        <v>64</v>
      </c>
      <c r="Q2" s="47">
        <v>1</v>
      </c>
      <c r="R2" s="48">
        <f>Twirling_Solo_Program2891011121314151617[[#This Row],[Judge 3
Lucija Ljubičić]]-Q2</f>
        <v>63</v>
      </c>
      <c r="S2" s="49">
        <f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Row],[Category]],Twirling_Solo_Program2891011121314151617[J3 TOTAL],"&gt;"&amp;Twirling_Solo_Program2891011121314151617[[#This Row],[J3 TOTAL]])+1</f>
        <v>1</v>
      </c>
      <c r="T2" s="46">
        <v>63.1</v>
      </c>
      <c r="U2" s="47">
        <v>0.7</v>
      </c>
      <c r="V2" s="48">
        <f>Twirling_Solo_Program2891011121314151617[[#This Row],[Judge 4
Bernard Barač]]-U2</f>
        <v>62.4</v>
      </c>
      <c r="W2" s="49">
        <f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Row],[Category]],Twirling_Solo_Program2891011121314151617[J4 TOTAL],"&gt;"&amp;Twirling_Solo_Program2891011121314151617[[#This Row],[J4 TOTAL]])+1</f>
        <v>1</v>
      </c>
      <c r="X2" s="50">
        <f>SUM(Twirling_Solo_Program2891011121314151617[[#This Row],[J1 TOTAL]]+Twirling_Solo_Program2891011121314151617[[#This Row],[J2 TOTAL]]+Twirling_Solo_Program2891011121314151617[[#This Row],[J3 TOTAL]]+Twirling_Solo_Program2891011121314151617[[#This Row],[J4 TOTAL]])</f>
        <v>240.4</v>
      </c>
      <c r="Y2" s="50">
        <f>MIN(Twirling_Solo_Program2891011121314151617[[#This Row],[J1 TOTAL]],Twirling_Solo_Program2891011121314151617[[#This Row],[J2 TOTAL]],Twirling_Solo_Program2891011121314151617[[#This Row],[J3 TOTAL]],Twirling_Solo_Program2891011121314151617[[#This Row],[J4 TOTAL]])</f>
        <v>53.8</v>
      </c>
      <c r="Z2" s="50">
        <f>MAX(Twirling_Solo_Program2891011121314151617[[#This Row],[J1 TOTAL]],Twirling_Solo_Program2891011121314151617[[#This Row],[J2 TOTAL]],Twirling_Solo_Program2891011121314151617[[#This Row],[J3 TOTAL]],Twirling_Solo_Program2891011121314151617[[#This Row],[J4 TOTAL]])</f>
        <v>63</v>
      </c>
      <c r="AA2" s="50">
        <f>SUM(Twirling_Solo_Program2891011121314151617[[#This Row],[Total]]-Twirling_Solo_Program2891011121314151617[[#This Row],[Low]]-Twirling_Solo_Program2891011121314151617[[#This Row],[High]])</f>
        <v>123.60000000000002</v>
      </c>
      <c r="AB2" s="50">
        <f>AVERAGE(H2,L2,P2,T2)</f>
        <v>61.199999999999996</v>
      </c>
      <c r="AC2" s="51">
        <f>Twirling_Solo_Program2891011121314151617[[#This Row],[Final Total]]</f>
        <v>123.60000000000002</v>
      </c>
      <c r="AD2" s="52">
        <f>COUNTIFS(Twirling_Solo_Program2891011121314151617[Age
Division],Twirling_Solo_Program2891011121314151617[[#This Row],[Age
Division]],Twirling_Solo_Program2891011121314151617[Category],Twirling_Solo_Program2891011121314151617[[#This Row],[Category]],Twirling_Solo_Program2891011121314151617[FINAL SCORE],"&gt;"&amp;Twirling_Solo_Program2891011121314151617[[#This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NPJHNb3wTsEeGAbG8V1O0BenvpUcyzkbG1W2vgya2uO+oCNoK4hiyH7Mu1LL4yH3R57e25Ooafloo7j84nw9/A==" saltValue="SAGcZcDAJrpo+nzOKsqVk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16.77734375" style="43" customWidth="1"/>
    <col min="4" max="4" width="11.88671875" style="53" customWidth="1"/>
    <col min="5" max="5" width="40.77734375" style="45" hidden="1" customWidth="1"/>
    <col min="6" max="6" width="39.109375" style="45" customWidth="1"/>
    <col min="7" max="7" width="10.7773437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88</v>
      </c>
      <c r="B2" s="44"/>
      <c r="C2" s="44" t="s">
        <v>125</v>
      </c>
      <c r="D2" s="44" t="s">
        <v>36</v>
      </c>
      <c r="E2" s="44"/>
      <c r="F2" s="44" t="s">
        <v>104</v>
      </c>
      <c r="G2" s="45" t="s">
        <v>26</v>
      </c>
      <c r="H2" s="46">
        <v>62.5</v>
      </c>
      <c r="I2" s="47">
        <v>0.3</v>
      </c>
      <c r="J2" s="48">
        <f>Twirling_Solo_Program28910111213141516173738[[#This Row],[Judge 1
Tamara Beljak]]-I2</f>
        <v>62.2</v>
      </c>
      <c r="K2" s="49">
        <f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Row],[Category]],Twirling_Solo_Program28910111213141516173738[J1 TOTAL],"&gt;"&amp;Twirling_Solo_Program28910111213141516173738[[#This Row],[J1 TOTAL]])+1</f>
        <v>1</v>
      </c>
      <c r="L2" s="46">
        <v>62.6</v>
      </c>
      <c r="M2" s="47">
        <v>0</v>
      </c>
      <c r="N2" s="48">
        <f>Twirling_Solo_Program28910111213141516173738[[#This Row],[Judge 2
Tihomir Bendelja]]-Twirling_Solo_Program28910111213141516173738[[#This Row],[J2 (-)]]</f>
        <v>62.6</v>
      </c>
      <c r="O2" s="49">
        <f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Row],[Category]],Twirling_Solo_Program28910111213141516173738[J2 TOTAL],"&gt;"&amp;Twirling_Solo_Program28910111213141516173738[[#This Row],[J2 TOTAL]])+1</f>
        <v>1</v>
      </c>
      <c r="P2" s="46">
        <v>59.5</v>
      </c>
      <c r="Q2" s="47">
        <v>0.5</v>
      </c>
      <c r="R2" s="48">
        <f>Twirling_Solo_Program28910111213141516173738[[#This Row],[Judge 3
Lucija Ljubičić]]-Q2</f>
        <v>59</v>
      </c>
      <c r="S2" s="49">
        <f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Row],[Category]],Twirling_Solo_Program28910111213141516173738[J3 TOTAL],"&gt;"&amp;Twirling_Solo_Program28910111213141516173738[[#This Row],[J3 TOTAL]])+1</f>
        <v>1</v>
      </c>
      <c r="T2" s="46">
        <v>60.9</v>
      </c>
      <c r="U2" s="47">
        <v>0.2</v>
      </c>
      <c r="V2" s="48">
        <f>Twirling_Solo_Program28910111213141516173738[[#This Row],[Judge 4
Bernard Barač]]-U2</f>
        <v>60.699999999999996</v>
      </c>
      <c r="W2" s="49">
        <f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Row],[Category]],Twirling_Solo_Program28910111213141516173738[J4 TOTAL],"&gt;"&amp;Twirling_Solo_Program28910111213141516173738[[#This Row],[J4 TOTAL]])+1</f>
        <v>1</v>
      </c>
      <c r="X2" s="50">
        <f>SUM(Twirling_Solo_Program28910111213141516173738[[#This Row],[J1 TOTAL]]+Twirling_Solo_Program28910111213141516173738[[#This Row],[J2 TOTAL]]+Twirling_Solo_Program28910111213141516173738[[#This Row],[J3 TOTAL]]+Twirling_Solo_Program28910111213141516173738[[#This Row],[J4 TOTAL]])</f>
        <v>244.5</v>
      </c>
      <c r="Y2" s="50">
        <f>MIN(Twirling_Solo_Program28910111213141516173738[[#This Row],[J1 TOTAL]],Twirling_Solo_Program28910111213141516173738[[#This Row],[J2 TOTAL]],Twirling_Solo_Program28910111213141516173738[[#This Row],[J3 TOTAL]],Twirling_Solo_Program28910111213141516173738[[#This Row],[J4 TOTAL]])</f>
        <v>59</v>
      </c>
      <c r="Z2" s="50">
        <f>MAX(Twirling_Solo_Program28910111213141516173738[[#This Row],[J1 TOTAL]],Twirling_Solo_Program28910111213141516173738[[#This Row],[J2 TOTAL]],Twirling_Solo_Program28910111213141516173738[[#This Row],[J3 TOTAL]],Twirling_Solo_Program28910111213141516173738[[#This Row],[J4 TOTAL]])</f>
        <v>62.6</v>
      </c>
      <c r="AA2" s="50">
        <f>SUM(Twirling_Solo_Program28910111213141516173738[[#This Row],[Total]]-Twirling_Solo_Program28910111213141516173738[[#This Row],[Low]]-Twirling_Solo_Program28910111213141516173738[[#This Row],[High]])</f>
        <v>122.9</v>
      </c>
      <c r="AB2" s="50">
        <f>AVERAGE(H2,L2,P2,T2)</f>
        <v>61.375</v>
      </c>
      <c r="AC2" s="51">
        <f>Twirling_Solo_Program28910111213141516173738[[#This Row],[Final Total]]</f>
        <v>122.9</v>
      </c>
      <c r="AD2" s="52">
        <f>COUNTIFS(Twirling_Solo_Program28910111213141516173738[Age
Division],Twirling_Solo_Program28910111213141516173738[[#This Row],[Age
Division]],Twirling_Solo_Program28910111213141516173738[Category],Twirling_Solo_Program28910111213141516173738[[#This Row],[Category]],Twirling_Solo_Program28910111213141516173738[FINAL SCORE],"&gt;"&amp;Twirling_Solo_Program28910111213141516173738[[#This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QX+tEf5AQYfPD3e84dfdcZWIBjCn0rBXCrS/UOfGvnWPUllp84z7TcqGQRxOdYUziCt1ToaoH7HGXzvcB6m7vg==" saltValue="P3SNao94jgFav7TgQZE8L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14.109375" style="43" customWidth="1"/>
    <col min="4" max="4" width="9.21875" style="53" customWidth="1"/>
    <col min="5" max="5" width="40.77734375" style="45" hidden="1" customWidth="1"/>
    <col min="6" max="6" width="25.5546875" style="45" bestFit="1" customWidth="1"/>
    <col min="7" max="7" width="9.664062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89</v>
      </c>
      <c r="B2" s="44"/>
      <c r="C2" s="44" t="s">
        <v>125</v>
      </c>
      <c r="D2" s="44" t="s">
        <v>24</v>
      </c>
      <c r="E2" s="44"/>
      <c r="F2" s="44" t="s">
        <v>29</v>
      </c>
      <c r="G2" s="45" t="s">
        <v>30</v>
      </c>
      <c r="H2" s="46">
        <v>79</v>
      </c>
      <c r="I2" s="47">
        <v>0.1</v>
      </c>
      <c r="J2" s="48">
        <f>Twirling_Solo_Program2891011121314151617373839[[#This Row],[Judge 1
Tamara Beljak]]-I2</f>
        <v>78.900000000000006</v>
      </c>
      <c r="K2" s="49">
        <f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Row],[Category]],Twirling_Solo_Program2891011121314151617373839[J1 TOTAL],"&gt;"&amp;Twirling_Solo_Program2891011121314151617373839[[#This Row],[J1 TOTAL]])+1</f>
        <v>1</v>
      </c>
      <c r="L2" s="46">
        <v>85.3</v>
      </c>
      <c r="M2" s="47">
        <v>0</v>
      </c>
      <c r="N2" s="48">
        <f>Twirling_Solo_Program2891011121314151617373839[[#This Row],[Judge 2
Tihomir Bendelja]]-Twirling_Solo_Program2891011121314151617373839[[#This Row],[J2 (-)]]</f>
        <v>85.3</v>
      </c>
      <c r="O2" s="49">
        <f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Row],[Category]],Twirling_Solo_Program2891011121314151617373839[J2 TOTAL],"&gt;"&amp;Twirling_Solo_Program2891011121314151617373839[[#This Row],[J2 TOTAL]])+1</f>
        <v>1</v>
      </c>
      <c r="P2" s="46">
        <v>87.5</v>
      </c>
      <c r="Q2" s="47">
        <v>0</v>
      </c>
      <c r="R2" s="48">
        <f>Twirling_Solo_Program2891011121314151617373839[[#This Row],[Judge 3
Lucija Ljubičić]]-Q2</f>
        <v>87.5</v>
      </c>
      <c r="S2" s="49">
        <f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Row],[Category]],Twirling_Solo_Program2891011121314151617373839[J3 TOTAL],"&gt;"&amp;Twirling_Solo_Program2891011121314151617373839[[#This Row],[J3 TOTAL]])+1</f>
        <v>1</v>
      </c>
      <c r="T2" s="46">
        <v>85.7</v>
      </c>
      <c r="U2" s="47">
        <v>0.2</v>
      </c>
      <c r="V2" s="48">
        <f>Twirling_Solo_Program2891011121314151617373839[[#This Row],[Judge 4
Bernard Barač]]-U2</f>
        <v>85.5</v>
      </c>
      <c r="W2" s="49">
        <f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Row],[Category]],Twirling_Solo_Program2891011121314151617373839[J4 TOTAL],"&gt;"&amp;Twirling_Solo_Program2891011121314151617373839[[#This Row],[J4 TOTAL]])+1</f>
        <v>1</v>
      </c>
      <c r="X2" s="50">
        <f>SUM(Twirling_Solo_Program2891011121314151617373839[[#This Row],[J1 TOTAL]]+Twirling_Solo_Program2891011121314151617373839[[#This Row],[J2 TOTAL]]+Twirling_Solo_Program2891011121314151617373839[[#This Row],[J3 TOTAL]]+Twirling_Solo_Program2891011121314151617373839[[#This Row],[J4 TOTAL]])</f>
        <v>337.2</v>
      </c>
      <c r="Y2" s="50">
        <f>MIN(Twirling_Solo_Program2891011121314151617373839[[#This Row],[J1 TOTAL]],Twirling_Solo_Program2891011121314151617373839[[#This Row],[J2 TOTAL]],Twirling_Solo_Program2891011121314151617373839[[#This Row],[J3 TOTAL]],Twirling_Solo_Program2891011121314151617373839[[#This Row],[J4 TOTAL]])</f>
        <v>78.900000000000006</v>
      </c>
      <c r="Z2" s="50">
        <f>MAX(Twirling_Solo_Program2891011121314151617373839[[#This Row],[J1 TOTAL]],Twirling_Solo_Program2891011121314151617373839[[#This Row],[J2 TOTAL]],Twirling_Solo_Program2891011121314151617373839[[#This Row],[J3 TOTAL]],Twirling_Solo_Program2891011121314151617373839[[#This Row],[J4 TOTAL]])</f>
        <v>87.5</v>
      </c>
      <c r="AA2" s="50">
        <f>SUM(Twirling_Solo_Program2891011121314151617373839[[#This Row],[Total]]-Twirling_Solo_Program2891011121314151617373839[[#This Row],[Low]]-Twirling_Solo_Program2891011121314151617373839[[#This Row],[High]])</f>
        <v>170.79999999999995</v>
      </c>
      <c r="AB2" s="50">
        <f>AVERAGE(H2,L2,P2,T2)</f>
        <v>84.375</v>
      </c>
      <c r="AC2" s="51">
        <f>Twirling_Solo_Program2891011121314151617373839[[#This Row],[Final Total]]</f>
        <v>170.79999999999995</v>
      </c>
      <c r="AD2" s="52">
        <f>COUNTIFS(Twirling_Solo_Program2891011121314151617373839[Age
Division],Twirling_Solo_Program2891011121314151617373839[[#This Row],[Age
Division]],Twirling_Solo_Program2891011121314151617373839[Category],Twirling_Solo_Program2891011121314151617373839[[#This Row],[Category]],Twirling_Solo_Program2891011121314151617373839[FINAL SCORE],"&gt;"&amp;Twirling_Solo_Program2891011121314151617373839[[#This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RlDo/a3DfVm5rfwIiRJ9CctGgKyyKAlo/MF2AJPgcdUGHmGCIg8HKYFoxqytg+Kh2IRKAhvVGtbSwPz7Qagxdw==" saltValue="+XNJHP/SMt5q0PmyWPJ+0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X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14.33203125" style="43" customWidth="1"/>
    <col min="4" max="4" width="8.33203125" style="53" customWidth="1"/>
    <col min="5" max="5" width="40.77734375" style="45" hidden="1" customWidth="1"/>
    <col min="6" max="6" width="34.8867187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109</v>
      </c>
      <c r="B2" s="44"/>
      <c r="C2" s="44" t="s">
        <v>125</v>
      </c>
      <c r="D2" s="44" t="s">
        <v>28</v>
      </c>
      <c r="E2" s="44"/>
      <c r="F2" s="44" t="s">
        <v>29</v>
      </c>
      <c r="G2" s="45" t="s">
        <v>30</v>
      </c>
      <c r="H2" s="46">
        <v>87</v>
      </c>
      <c r="I2" s="47">
        <v>0.2</v>
      </c>
      <c r="J2" s="48">
        <f>Twirling_Solo_Program289101112131415161737383940464748[[#This Row],[Judge 1
Tamara Beljak]]-I2</f>
        <v>86.8</v>
      </c>
      <c r="K2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Row],[Category]],Twirling_Solo_Program289101112131415161737383940464748[J1 TOTAL],"&gt;"&amp;Twirling_Solo_Program289101112131415161737383940464748[[#This Row],[J1 TOTAL]])+1</f>
        <v>1</v>
      </c>
      <c r="L2" s="46">
        <v>90.5</v>
      </c>
      <c r="M2" s="47">
        <v>0</v>
      </c>
      <c r="N2" s="48">
        <f>Twirling_Solo_Program289101112131415161737383940464748[[#This Row],[Judge 2
Tihomir Bendelja]]-Twirling_Solo_Program289101112131415161737383940464748[[#This Row],[J2 (-)]]</f>
        <v>90.5</v>
      </c>
      <c r="O2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Row],[Category]],Twirling_Solo_Program289101112131415161737383940464748[J2 TOTAL],"&gt;"&amp;Twirling_Solo_Program289101112131415161737383940464748[[#This Row],[J2 TOTAL]])+1</f>
        <v>1</v>
      </c>
      <c r="P2" s="46">
        <v>87.5</v>
      </c>
      <c r="Q2" s="47">
        <v>0.2</v>
      </c>
      <c r="R2" s="48">
        <f>Twirling_Solo_Program289101112131415161737383940464748[[#This Row],[Judge 3
Lucija Ljubičić]]-Q2</f>
        <v>87.3</v>
      </c>
      <c r="S2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Row],[Category]],Twirling_Solo_Program289101112131415161737383940464748[J3 TOTAL],"&gt;"&amp;Twirling_Solo_Program289101112131415161737383940464748[[#This Row],[J3 TOTAL]])+1</f>
        <v>1</v>
      </c>
      <c r="T2" s="46">
        <v>88.2</v>
      </c>
      <c r="U2" s="47">
        <v>0</v>
      </c>
      <c r="V2" s="48">
        <f>Twirling_Solo_Program289101112131415161737383940464748[[#This Row],[Judge 4
Bernard Barač]]-U2</f>
        <v>88.2</v>
      </c>
      <c r="W2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Row],[Category]],Twirling_Solo_Program289101112131415161737383940464748[J4 TOTAL],"&gt;"&amp;Twirling_Solo_Program289101112131415161737383940464748[[#This Row],[J4 TOTAL]])+1</f>
        <v>1</v>
      </c>
      <c r="X2" s="50">
        <f>SUM(Twirling_Solo_Program289101112131415161737383940464748[[#This Row],[J1 TOTAL]]+Twirling_Solo_Program289101112131415161737383940464748[[#This Row],[J2 TOTAL]]+Twirling_Solo_Program289101112131415161737383940464748[[#This Row],[J3 TOTAL]]+Twirling_Solo_Program289101112131415161737383940464748[[#This Row],[J4 TOTAL]])</f>
        <v>352.8</v>
      </c>
      <c r="Y2" s="50">
        <f>MIN(Twirling_Solo_Program289101112131415161737383940464748[[#This Row],[J1 TOTAL]],Twirling_Solo_Program289101112131415161737383940464748[[#This Row],[J2 TOTAL]],Twirling_Solo_Program289101112131415161737383940464748[[#This Row],[J3 TOTAL]],Twirling_Solo_Program289101112131415161737383940464748[[#This Row],[J4 TOTAL]])</f>
        <v>86.8</v>
      </c>
      <c r="Z2" s="50">
        <f>MAX(Twirling_Solo_Program289101112131415161737383940464748[[#This Row],[J1 TOTAL]],Twirling_Solo_Program289101112131415161737383940464748[[#This Row],[J2 TOTAL]],Twirling_Solo_Program289101112131415161737383940464748[[#This Row],[J3 TOTAL]],Twirling_Solo_Program289101112131415161737383940464748[[#This Row],[J4 TOTAL]])</f>
        <v>90.5</v>
      </c>
      <c r="AA2" s="50">
        <f>SUM(Twirling_Solo_Program289101112131415161737383940464748[[#This Row],[Total]]-Twirling_Solo_Program289101112131415161737383940464748[[#This Row],[Low]]-Twirling_Solo_Program289101112131415161737383940464748[[#This Row],[High]])</f>
        <v>175.5</v>
      </c>
      <c r="AB2" s="50">
        <f>AVERAGE(H2,L2,P2,T2)</f>
        <v>88.3</v>
      </c>
      <c r="AC2" s="51">
        <f>Twirling_Solo_Program289101112131415161737383940464748[[#This Row],[Final Total]]</f>
        <v>175.5</v>
      </c>
      <c r="AD2" s="52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Row],[Category]],Twirling_Solo_Program289101112131415161737383940464748[FINAL SCORE],"&gt;"&amp;Twirling_Solo_Program289101112131415161737383940464748[[#This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110</v>
      </c>
      <c r="B3" s="57"/>
      <c r="C3" s="44" t="s">
        <v>125</v>
      </c>
      <c r="D3" s="57" t="s">
        <v>28</v>
      </c>
      <c r="E3" s="57"/>
      <c r="F3" s="57" t="s">
        <v>102</v>
      </c>
      <c r="G3" s="58" t="s">
        <v>30</v>
      </c>
      <c r="H3" s="46">
        <v>81.5</v>
      </c>
      <c r="I3" s="47">
        <v>0.1</v>
      </c>
      <c r="J3" s="48">
        <f>Twirling_Solo_Program289101112131415161737383940464748[[#This Row],[Judge 1
Tamara Beljak]]-I3</f>
        <v>81.400000000000006</v>
      </c>
      <c r="K3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Row],[Category]],Twirling_Solo_Program289101112131415161737383940464748[J1 TOTAL],"&gt;"&amp;Twirling_Solo_Program289101112131415161737383940464748[[#This Row],[J1 TOTAL]])+1</f>
        <v>2</v>
      </c>
      <c r="L3" s="46">
        <v>85.5</v>
      </c>
      <c r="M3" s="47">
        <v>0</v>
      </c>
      <c r="N3" s="48">
        <f>Twirling_Solo_Program289101112131415161737383940464748[[#This Row],[Judge 2
Tihomir Bendelja]]-Twirling_Solo_Program289101112131415161737383940464748[[#This Row],[J2 (-)]]</f>
        <v>85.5</v>
      </c>
      <c r="O3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Row],[Category]],Twirling_Solo_Program289101112131415161737383940464748[J2 TOTAL],"&gt;"&amp;Twirling_Solo_Program289101112131415161737383940464748[[#This Row],[J2 TOTAL]])+1</f>
        <v>2</v>
      </c>
      <c r="P3" s="46">
        <v>80.5</v>
      </c>
      <c r="Q3" s="47">
        <v>0.4</v>
      </c>
      <c r="R3" s="48">
        <f>Twirling_Solo_Program289101112131415161737383940464748[[#This Row],[Judge 3
Lucija Ljubičić]]-Q3</f>
        <v>80.099999999999994</v>
      </c>
      <c r="S3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Row],[Category]],Twirling_Solo_Program289101112131415161737383940464748[J3 TOTAL],"&gt;"&amp;Twirling_Solo_Program289101112131415161737383940464748[[#This Row],[J3 TOTAL]])+1</f>
        <v>2</v>
      </c>
      <c r="T3" s="46">
        <v>86.1</v>
      </c>
      <c r="U3" s="47">
        <v>0</v>
      </c>
      <c r="V3" s="48">
        <f>Twirling_Solo_Program289101112131415161737383940464748[[#This Row],[Judge 4
Bernard Barač]]-U3</f>
        <v>86.1</v>
      </c>
      <c r="W3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Row],[Category]],Twirling_Solo_Program289101112131415161737383940464748[J4 TOTAL],"&gt;"&amp;Twirling_Solo_Program289101112131415161737383940464748[[#This Row],[J4 TOTAL]])+1</f>
        <v>2</v>
      </c>
      <c r="X3" s="62">
        <f>SUM(Twirling_Solo_Program289101112131415161737383940464748[[#This Row],[J1 TOTAL]]+Twirling_Solo_Program289101112131415161737383940464748[[#This Row],[J2 TOTAL]]+Twirling_Solo_Program289101112131415161737383940464748[[#This Row],[J3 TOTAL]]+Twirling_Solo_Program289101112131415161737383940464748[[#This Row],[J4 TOTAL]])</f>
        <v>333.1</v>
      </c>
      <c r="Y3" s="50">
        <f>MIN(Twirling_Solo_Program289101112131415161737383940464748[[#This Row],[J1 TOTAL]],Twirling_Solo_Program289101112131415161737383940464748[[#This Row],[J2 TOTAL]],Twirling_Solo_Program289101112131415161737383940464748[[#This Row],[J3 TOTAL]],Twirling_Solo_Program289101112131415161737383940464748[[#This Row],[J4 TOTAL]])</f>
        <v>80.099999999999994</v>
      </c>
      <c r="Z3" s="50">
        <f>MAX(Twirling_Solo_Program289101112131415161737383940464748[[#This Row],[J1 TOTAL]],Twirling_Solo_Program289101112131415161737383940464748[[#This Row],[J2 TOTAL]],Twirling_Solo_Program289101112131415161737383940464748[[#This Row],[J3 TOTAL]],Twirling_Solo_Program289101112131415161737383940464748[[#This Row],[J4 TOTAL]])</f>
        <v>86.1</v>
      </c>
      <c r="AA3" s="50">
        <f>SUM(Twirling_Solo_Program289101112131415161737383940464748[[#This Row],[Total]]-Twirling_Solo_Program289101112131415161737383940464748[[#This Row],[Low]]-Twirling_Solo_Program289101112131415161737383940464748[[#This Row],[High]])</f>
        <v>166.90000000000003</v>
      </c>
      <c r="AB3" s="59">
        <f>AVERAGE(H3,L3,P3,T3)</f>
        <v>83.4</v>
      </c>
      <c r="AC3" s="51">
        <f>Twirling_Solo_Program289101112131415161737383940464748[[#This Row],[Final Total]]</f>
        <v>166.90000000000003</v>
      </c>
      <c r="AD3" s="60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Row],[Category]],Twirling_Solo_Program289101112131415161737383940464748[FINAL SCORE],"&gt;"&amp;Twirling_Solo_Program289101112131415161737383940464748[[#This Row],[FINAL SCORE]])+1</f>
        <v>2</v>
      </c>
      <c r="AE3" s="55" t="s">
        <v>27</v>
      </c>
    </row>
    <row r="4" spans="1:50" ht="15.6" x14ac:dyDescent="0.3">
      <c r="A4" s="56">
        <v>111</v>
      </c>
      <c r="B4" s="57"/>
      <c r="C4" s="44" t="s">
        <v>125</v>
      </c>
      <c r="D4" s="57" t="s">
        <v>28</v>
      </c>
      <c r="E4" s="57"/>
      <c r="F4" s="57" t="s">
        <v>43</v>
      </c>
      <c r="G4" s="58" t="s">
        <v>26</v>
      </c>
      <c r="H4" s="46">
        <v>76</v>
      </c>
      <c r="I4" s="47">
        <v>0.5</v>
      </c>
      <c r="J4" s="48">
        <f>Twirling_Solo_Program289101112131415161737383940464748[[#This Row],[Judge 1
Tamara Beljak]]-I4</f>
        <v>75.5</v>
      </c>
      <c r="K4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Row],[Category]],Twirling_Solo_Program289101112131415161737383940464748[J1 TOTAL],"&gt;"&amp;Twirling_Solo_Program289101112131415161737383940464748[[#This Row],[J1 TOTAL]])+1</f>
        <v>3</v>
      </c>
      <c r="L4" s="46">
        <v>79.5</v>
      </c>
      <c r="M4" s="47">
        <v>0</v>
      </c>
      <c r="N4" s="48">
        <f>Twirling_Solo_Program289101112131415161737383940464748[[#This Row],[Judge 2
Tihomir Bendelja]]-Twirling_Solo_Program289101112131415161737383940464748[[#This Row],[J2 (-)]]</f>
        <v>79.5</v>
      </c>
      <c r="O4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Row],[Category]],Twirling_Solo_Program289101112131415161737383940464748[J2 TOTAL],"&gt;"&amp;Twirling_Solo_Program289101112131415161737383940464748[[#This Row],[J2 TOTAL]])+1</f>
        <v>3</v>
      </c>
      <c r="P4" s="46">
        <v>76.5</v>
      </c>
      <c r="Q4" s="47">
        <v>0.5</v>
      </c>
      <c r="R4" s="48">
        <f>Twirling_Solo_Program289101112131415161737383940464748[[#This Row],[Judge 3
Lucija Ljubičić]]-Q4</f>
        <v>76</v>
      </c>
      <c r="S4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Row],[Category]],Twirling_Solo_Program289101112131415161737383940464748[J3 TOTAL],"&gt;"&amp;Twirling_Solo_Program289101112131415161737383940464748[[#This Row],[J3 TOTAL]])+1</f>
        <v>3</v>
      </c>
      <c r="T4" s="46">
        <v>84.8</v>
      </c>
      <c r="U4" s="47">
        <v>0</v>
      </c>
      <c r="V4" s="48">
        <f>Twirling_Solo_Program289101112131415161737383940464748[[#This Row],[Judge 4
Bernard Barač]]-U4</f>
        <v>84.8</v>
      </c>
      <c r="W4" s="49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Row],[Category]],Twirling_Solo_Program289101112131415161737383940464748[J4 TOTAL],"&gt;"&amp;Twirling_Solo_Program289101112131415161737383940464748[[#This Row],[J4 TOTAL]])+1</f>
        <v>3</v>
      </c>
      <c r="X4" s="62">
        <f>SUM(Twirling_Solo_Program289101112131415161737383940464748[[#This Row],[J1 TOTAL]]+Twirling_Solo_Program289101112131415161737383940464748[[#This Row],[J2 TOTAL]]+Twirling_Solo_Program289101112131415161737383940464748[[#This Row],[J3 TOTAL]]+Twirling_Solo_Program289101112131415161737383940464748[[#This Row],[J4 TOTAL]])</f>
        <v>315.8</v>
      </c>
      <c r="Y4" s="50">
        <f>MIN(Twirling_Solo_Program289101112131415161737383940464748[[#This Row],[J1 TOTAL]],Twirling_Solo_Program289101112131415161737383940464748[[#This Row],[J2 TOTAL]],Twirling_Solo_Program289101112131415161737383940464748[[#This Row],[J3 TOTAL]],Twirling_Solo_Program289101112131415161737383940464748[[#This Row],[J4 TOTAL]])</f>
        <v>75.5</v>
      </c>
      <c r="Z4" s="50">
        <f>MAX(Twirling_Solo_Program289101112131415161737383940464748[[#This Row],[J1 TOTAL]],Twirling_Solo_Program289101112131415161737383940464748[[#This Row],[J2 TOTAL]],Twirling_Solo_Program289101112131415161737383940464748[[#This Row],[J3 TOTAL]],Twirling_Solo_Program289101112131415161737383940464748[[#This Row],[J4 TOTAL]])</f>
        <v>84.8</v>
      </c>
      <c r="AA4" s="50">
        <f>SUM(Twirling_Solo_Program289101112131415161737383940464748[[#This Row],[Total]]-Twirling_Solo_Program289101112131415161737383940464748[[#This Row],[Low]]-Twirling_Solo_Program289101112131415161737383940464748[[#This Row],[High]])</f>
        <v>155.5</v>
      </c>
      <c r="AB4" s="59">
        <f>AVERAGE(H4,L4,P4,T4)</f>
        <v>79.2</v>
      </c>
      <c r="AC4" s="51">
        <f>Twirling_Solo_Program289101112131415161737383940464748[[#This Row],[Final Total]]</f>
        <v>155.5</v>
      </c>
      <c r="AD4" s="60">
        <f>COUNTIFS(Twirling_Solo_Program289101112131415161737383940464748[Age
Division],Twirling_Solo_Program289101112131415161737383940464748[[#This Row],[Age
Division]],Twirling_Solo_Program289101112131415161737383940464748[Category],Twirling_Solo_Program289101112131415161737383940464748[[#This Row],[Category]],Twirling_Solo_Program289101112131415161737383940464748[FINAL SCORE],"&gt;"&amp;Twirling_Solo_Program289101112131415161737383940464748[[#This Row],[FINAL SCORE]])+1</f>
        <v>3</v>
      </c>
      <c r="AE4" s="55" t="s">
        <v>27</v>
      </c>
    </row>
  </sheetData>
  <sheetProtection algorithmName="SHA-512" hashValue="Ku3/rYP8xgAV32fBUZMkdSye2xAAa6PB4uLWe0NC1LOgAcdqi7p1SuEkCNN7Ke/ks4AScrSAh0eUkxOtldmDvQ==" saltValue="nLc6WXkKXW/GomBE9ExJLg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10.44140625" style="43" customWidth="1"/>
    <col min="4" max="4" width="9.44140625" style="53" customWidth="1"/>
    <col min="5" max="5" width="40.77734375" style="45" hidden="1" customWidth="1"/>
    <col min="6" max="6" width="49.554687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112</v>
      </c>
      <c r="B2" s="44"/>
      <c r="C2" s="44" t="s">
        <v>140</v>
      </c>
      <c r="D2" s="44" t="s">
        <v>28</v>
      </c>
      <c r="E2" s="44"/>
      <c r="F2" s="44" t="s">
        <v>31</v>
      </c>
      <c r="G2" s="45" t="s">
        <v>32</v>
      </c>
      <c r="H2" s="46">
        <v>70.5</v>
      </c>
      <c r="I2" s="47">
        <v>3.6</v>
      </c>
      <c r="J2" s="48">
        <f>Twirling_Solo_Program28910111213141516173738394046474849[[#This Row],[Judge 1
Tamara Beljak]]-I2</f>
        <v>66.900000000000006</v>
      </c>
      <c r="K2" s="49">
        <f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Row],[Category]],Twirling_Solo_Program28910111213141516173738394046474849[J1 TOTAL],"&gt;"&amp;Twirling_Solo_Program28910111213141516173738394046474849[[#This Row],[J1 TOTAL]])+1</f>
        <v>1</v>
      </c>
      <c r="L2" s="46">
        <v>70.5</v>
      </c>
      <c r="M2" s="47">
        <v>3.5</v>
      </c>
      <c r="N2" s="48">
        <f>Twirling_Solo_Program28910111213141516173738394046474849[[#This Row],[Judge 2
Tihomir Bendelja]]-Twirling_Solo_Program28910111213141516173738394046474849[[#This Row],[J2 (-)]]</f>
        <v>67</v>
      </c>
      <c r="O2" s="49">
        <f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Row],[Category]],Twirling_Solo_Program28910111213141516173738394046474849[J2 TOTAL],"&gt;"&amp;Twirling_Solo_Program28910111213141516173738394046474849[[#This Row],[J2 TOTAL]])+1</f>
        <v>1</v>
      </c>
      <c r="P2" s="46">
        <v>70.5</v>
      </c>
      <c r="Q2" s="47">
        <v>4</v>
      </c>
      <c r="R2" s="48">
        <f>Twirling_Solo_Program28910111213141516173738394046474849[[#This Row],[Judge 3
Lucija Ljubičić]]-Q2</f>
        <v>66.5</v>
      </c>
      <c r="S2" s="49">
        <f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Row],[Category]],Twirling_Solo_Program28910111213141516173738394046474849[J3 TOTAL],"&gt;"&amp;Twirling_Solo_Program28910111213141516173738394046474849[[#This Row],[J3 TOTAL]])+1</f>
        <v>1</v>
      </c>
      <c r="T2" s="46">
        <v>71.7</v>
      </c>
      <c r="U2" s="47">
        <v>3.5</v>
      </c>
      <c r="V2" s="48">
        <f>Twirling_Solo_Program28910111213141516173738394046474849[[#This Row],[Judge 4
Bernard Barač]]-U2</f>
        <v>68.2</v>
      </c>
      <c r="W2" s="49">
        <f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Row],[Category]],Twirling_Solo_Program28910111213141516173738394046474849[J4 TOTAL],"&gt;"&amp;Twirling_Solo_Program28910111213141516173738394046474849[[#This Row],[J4 TOTAL]])+1</f>
        <v>1</v>
      </c>
      <c r="X2" s="50">
        <f>SUM(Twirling_Solo_Program28910111213141516173738394046474849[[#This Row],[J1 TOTAL]]+Twirling_Solo_Program28910111213141516173738394046474849[[#This Row],[J2 TOTAL]]+Twirling_Solo_Program28910111213141516173738394046474849[[#This Row],[J3 TOTAL]]+Twirling_Solo_Program28910111213141516173738394046474849[[#This Row],[J4 TOTAL]])</f>
        <v>268.60000000000002</v>
      </c>
      <c r="Y2" s="50">
        <f>MIN(Twirling_Solo_Program28910111213141516173738394046474849[[#This Row],[J1 TOTAL]],Twirling_Solo_Program28910111213141516173738394046474849[[#This Row],[J2 TOTAL]],Twirling_Solo_Program28910111213141516173738394046474849[[#This Row],[J3 TOTAL]],Twirling_Solo_Program28910111213141516173738394046474849[[#This Row],[J4 TOTAL]])</f>
        <v>66.5</v>
      </c>
      <c r="Z2" s="50">
        <f>MAX(Twirling_Solo_Program28910111213141516173738394046474849[[#This Row],[J1 TOTAL]],Twirling_Solo_Program28910111213141516173738394046474849[[#This Row],[J2 TOTAL]],Twirling_Solo_Program28910111213141516173738394046474849[[#This Row],[J3 TOTAL]],Twirling_Solo_Program28910111213141516173738394046474849[[#This Row],[J4 TOTAL]])</f>
        <v>68.2</v>
      </c>
      <c r="AA2" s="50">
        <f>SUM(Twirling_Solo_Program28910111213141516173738394046474849[[#This Row],[Total]]-Twirling_Solo_Program28910111213141516173738394046474849[[#This Row],[Low]]-Twirling_Solo_Program28910111213141516173738394046474849[[#This Row],[High]])</f>
        <v>133.90000000000003</v>
      </c>
      <c r="AB2" s="50">
        <f>AVERAGE(H2,L2,P2,T2)</f>
        <v>70.8</v>
      </c>
      <c r="AC2" s="51">
        <f>Twirling_Solo_Program28910111213141516173738394046474849[[#This Row],[Final Total]]</f>
        <v>133.90000000000003</v>
      </c>
      <c r="AD2" s="52">
        <f>COUNTIFS(Twirling_Solo_Program28910111213141516173738394046474849[Age
Division],Twirling_Solo_Program28910111213141516173738394046474849[[#This Row],[Age
Division]],Twirling_Solo_Program28910111213141516173738394046474849[Category],Twirling_Solo_Program28910111213141516173738394046474849[[#This Row],[Category]],Twirling_Solo_Program28910111213141516173738394046474849[FINAL SCORE],"&gt;"&amp;Twirling_Solo_Program28910111213141516173738394046474849[[#This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9IgSpb45Z1GE27ev4zOV58mEhG96vfhIy4BJXiPyz68iK3dfEurqjJ2iK86c+Ud+UIn6CmYpT1Finb9WhnIOFg==" saltValue="bVx46O2K9IWP21uJqi7TI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11.77734375" style="43" customWidth="1"/>
    <col min="4" max="4" width="10.77734375" style="53" customWidth="1"/>
    <col min="5" max="5" width="40.77734375" style="45" hidden="1" customWidth="1"/>
    <col min="6" max="6" width="36.109375" style="45" customWidth="1"/>
    <col min="7" max="7" width="8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90</v>
      </c>
      <c r="B2" s="44"/>
      <c r="C2" s="44" t="s">
        <v>126</v>
      </c>
      <c r="D2" s="44" t="s">
        <v>36</v>
      </c>
      <c r="E2" s="44"/>
      <c r="F2" s="44" t="s">
        <v>73</v>
      </c>
      <c r="G2" s="45" t="s">
        <v>26</v>
      </c>
      <c r="H2" s="46">
        <v>63.8</v>
      </c>
      <c r="I2" s="47">
        <v>1.4</v>
      </c>
      <c r="J2" s="48">
        <f>Twirling_Solo_Program289101112131415161737383940[[#This Row],[Judge 1
Tamara Beljak]]-I2</f>
        <v>62.4</v>
      </c>
      <c r="K2" s="49">
        <f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Row],[Category]],Twirling_Solo_Program289101112131415161737383940[J1 TOTAL],"&gt;"&amp;Twirling_Solo_Program289101112131415161737383940[[#This Row],[J1 TOTAL]])+1</f>
        <v>1</v>
      </c>
      <c r="L2" s="46">
        <v>61.1</v>
      </c>
      <c r="M2" s="47">
        <v>0.5</v>
      </c>
      <c r="N2" s="48">
        <f>Twirling_Solo_Program289101112131415161737383940[[#This Row],[Judge 2
Tihomir Bendelja]]-Twirling_Solo_Program289101112131415161737383940[[#This Row],[J2 (-)]]</f>
        <v>60.6</v>
      </c>
      <c r="O2" s="49">
        <f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Row],[Category]],Twirling_Solo_Program289101112131415161737383940[J2 TOTAL],"&gt;"&amp;Twirling_Solo_Program289101112131415161737383940[[#This Row],[J2 TOTAL]])+1</f>
        <v>1</v>
      </c>
      <c r="P2" s="46">
        <v>61</v>
      </c>
      <c r="Q2" s="47">
        <v>1.5</v>
      </c>
      <c r="R2" s="48">
        <f>Twirling_Solo_Program289101112131415161737383940[[#This Row],[Judge 3
Lucija Ljubičić]]-Q2</f>
        <v>59.5</v>
      </c>
      <c r="S2" s="49">
        <f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Row],[Category]],Twirling_Solo_Program289101112131415161737383940[J3 TOTAL],"&gt;"&amp;Twirling_Solo_Program289101112131415161737383940[[#This Row],[J3 TOTAL]])+1</f>
        <v>1</v>
      </c>
      <c r="T2" s="46">
        <v>61.5</v>
      </c>
      <c r="U2" s="47">
        <v>1</v>
      </c>
      <c r="V2" s="48">
        <f>Twirling_Solo_Program289101112131415161737383940[[#This Row],[Judge 4
Bernard Barač]]-U2</f>
        <v>60.5</v>
      </c>
      <c r="W2" s="49">
        <f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Row],[Category]],Twirling_Solo_Program289101112131415161737383940[J4 TOTAL],"&gt;"&amp;Twirling_Solo_Program289101112131415161737383940[[#This Row],[J4 TOTAL]])+1</f>
        <v>1</v>
      </c>
      <c r="X2" s="50">
        <f>SUM(Twirling_Solo_Program289101112131415161737383940[[#This Row],[J1 TOTAL]]+Twirling_Solo_Program289101112131415161737383940[[#This Row],[J2 TOTAL]]+Twirling_Solo_Program289101112131415161737383940[[#This Row],[J3 TOTAL]]+Twirling_Solo_Program289101112131415161737383940[[#This Row],[J4 TOTAL]])</f>
        <v>243</v>
      </c>
      <c r="Y2" s="50">
        <f>MIN(Twirling_Solo_Program289101112131415161737383940[[#This Row],[J1 TOTAL]],Twirling_Solo_Program289101112131415161737383940[[#This Row],[J2 TOTAL]],Twirling_Solo_Program289101112131415161737383940[[#This Row],[J3 TOTAL]],Twirling_Solo_Program289101112131415161737383940[[#This Row],[J4 TOTAL]])</f>
        <v>59.5</v>
      </c>
      <c r="Z2" s="50">
        <f>MAX(Twirling_Solo_Program289101112131415161737383940[[#This Row],[J1 TOTAL]],Twirling_Solo_Program289101112131415161737383940[[#This Row],[J2 TOTAL]],Twirling_Solo_Program289101112131415161737383940[[#This Row],[J3 TOTAL]],Twirling_Solo_Program289101112131415161737383940[[#This Row],[J4 TOTAL]])</f>
        <v>62.4</v>
      </c>
      <c r="AA2" s="50">
        <f>SUM(Twirling_Solo_Program289101112131415161737383940[[#This Row],[Total]]-Twirling_Solo_Program289101112131415161737383940[[#This Row],[Low]]-Twirling_Solo_Program289101112131415161737383940[[#This Row],[High]])</f>
        <v>121.1</v>
      </c>
      <c r="AB2" s="50">
        <f>AVERAGE(H2,L2,P2,T2)</f>
        <v>61.85</v>
      </c>
      <c r="AC2" s="51">
        <f>Twirling_Solo_Program289101112131415161737383940[[#This Row],[Final Total]]</f>
        <v>121.1</v>
      </c>
      <c r="AD2" s="52">
        <f>COUNTIFS(Twirling_Solo_Program289101112131415161737383940[Age
Division],Twirling_Solo_Program289101112131415161737383940[[#This Row],[Age
Division]],Twirling_Solo_Program289101112131415161737383940[Category],Twirling_Solo_Program289101112131415161737383940[[#This Row],[Category]],Twirling_Solo_Program289101112131415161737383940[FINAL SCORE],"&gt;"&amp;Twirling_Solo_Program289101112131415161737383940[[#This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4auSelvUx7RGiitZQWH6sggESdgDE72UQCyY+hwg8mr0IeqGSt9yExa7/Wux/rXEI46P++nzGbIs6KBAKFdcdA==" saltValue="FH76wgkrAUHRIglTPoNeew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X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77734375" style="43" customWidth="1"/>
    <col min="2" max="2" width="4.44140625" style="43" hidden="1" customWidth="1"/>
    <col min="3" max="3" width="12.21875" style="43" customWidth="1"/>
    <col min="4" max="4" width="8.5546875" style="53" customWidth="1"/>
    <col min="5" max="5" width="40.77734375" style="45" hidden="1" customWidth="1"/>
    <col min="6" max="6" width="41.5546875" style="45" customWidth="1"/>
    <col min="7" max="7" width="7.8867187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107</v>
      </c>
      <c r="B2" s="57"/>
      <c r="C2" s="44" t="s">
        <v>126</v>
      </c>
      <c r="D2" s="57" t="s">
        <v>24</v>
      </c>
      <c r="E2" s="57"/>
      <c r="F2" s="57" t="s">
        <v>65</v>
      </c>
      <c r="G2" s="58" t="s">
        <v>30</v>
      </c>
      <c r="H2" s="46">
        <v>94.5</v>
      </c>
      <c r="I2" s="47">
        <v>1.7</v>
      </c>
      <c r="J2" s="48">
        <f>Twirling_Solo_Program28910111213141516173738394046[[#This Row],[Judge 1
Tamara Beljak]]-I2</f>
        <v>92.8</v>
      </c>
      <c r="K2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Row],[Category]],Twirling_Solo_Program28910111213141516173738394046[J1 TOTAL],"&gt;"&amp;Twirling_Solo_Program28910111213141516173738394046[[#This Row],[J1 TOTAL]])+1</f>
        <v>1</v>
      </c>
      <c r="L2" s="46">
        <v>93.5</v>
      </c>
      <c r="M2" s="47">
        <v>1.5</v>
      </c>
      <c r="N2" s="48">
        <f>Twirling_Solo_Program28910111213141516173738394046[[#This Row],[Judge 2
Tihomir Bendelja]]-Twirling_Solo_Program28910111213141516173738394046[[#This Row],[J2 (-)]]</f>
        <v>92</v>
      </c>
      <c r="O2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Row],[Category]],Twirling_Solo_Program28910111213141516173738394046[J2 TOTAL],"&gt;"&amp;Twirling_Solo_Program28910111213141516173738394046[[#This Row],[J2 TOTAL]])+1</f>
        <v>1</v>
      </c>
      <c r="P2" s="46">
        <v>95.5</v>
      </c>
      <c r="Q2" s="47">
        <v>1.7</v>
      </c>
      <c r="R2" s="48">
        <f>Twirling_Solo_Program28910111213141516173738394046[[#This Row],[Judge 3
Lucija Ljubičić]]-Q2</f>
        <v>93.8</v>
      </c>
      <c r="S2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Row],[Category]],Twirling_Solo_Program28910111213141516173738394046[J3 TOTAL],"&gt;"&amp;Twirling_Solo_Program28910111213141516173738394046[[#This Row],[J3 TOTAL]])+1</f>
        <v>1</v>
      </c>
      <c r="T2" s="46">
        <v>93.9</v>
      </c>
      <c r="U2" s="47">
        <v>1.5</v>
      </c>
      <c r="V2" s="48">
        <f>Twirling_Solo_Program28910111213141516173738394046[[#This Row],[Judge 4
Bernard Barač]]-U2</f>
        <v>92.4</v>
      </c>
      <c r="W2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Row],[Category]],Twirling_Solo_Program28910111213141516173738394046[J4 TOTAL],"&gt;"&amp;Twirling_Solo_Program28910111213141516173738394046[[#This Row],[J4 TOTAL]])+1</f>
        <v>1</v>
      </c>
      <c r="X2" s="62">
        <f>SUM(Twirling_Solo_Program28910111213141516173738394046[[#This Row],[J1 TOTAL]]+Twirling_Solo_Program28910111213141516173738394046[[#This Row],[J2 TOTAL]]+Twirling_Solo_Program28910111213141516173738394046[[#This Row],[J3 TOTAL]]+Twirling_Solo_Program28910111213141516173738394046[[#This Row],[J4 TOTAL]])</f>
        <v>371</v>
      </c>
      <c r="Y2" s="50">
        <f>MIN(Twirling_Solo_Program28910111213141516173738394046[[#This Row],[J1 TOTAL]],Twirling_Solo_Program28910111213141516173738394046[[#This Row],[J2 TOTAL]],Twirling_Solo_Program28910111213141516173738394046[[#This Row],[J3 TOTAL]],Twirling_Solo_Program28910111213141516173738394046[[#This Row],[J4 TOTAL]])</f>
        <v>92</v>
      </c>
      <c r="Z2" s="50">
        <f>MAX(Twirling_Solo_Program28910111213141516173738394046[[#This Row],[J1 TOTAL]],Twirling_Solo_Program28910111213141516173738394046[[#This Row],[J2 TOTAL]],Twirling_Solo_Program28910111213141516173738394046[[#This Row],[J3 TOTAL]],Twirling_Solo_Program28910111213141516173738394046[[#This Row],[J4 TOTAL]])</f>
        <v>93.8</v>
      </c>
      <c r="AA2" s="50">
        <f>SUM(Twirling_Solo_Program28910111213141516173738394046[[#This Row],[Total]]-Twirling_Solo_Program28910111213141516173738394046[[#This Row],[Low]]-Twirling_Solo_Program28910111213141516173738394046[[#This Row],[High]])</f>
        <v>185.2</v>
      </c>
      <c r="AB2" s="59">
        <f>AVERAGE(H2,L2,P2,T2)</f>
        <v>94.35</v>
      </c>
      <c r="AC2" s="51">
        <f>Twirling_Solo_Program28910111213141516173738394046[[#This Row],[Final Total]]</f>
        <v>185.2</v>
      </c>
      <c r="AD2" s="60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Row],[Category]],Twirling_Solo_Program28910111213141516173738394046[FINAL SCORE],"&gt;"&amp;Twirling_Solo_Program28910111213141516173738394046[[#This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106</v>
      </c>
      <c r="B3" s="57"/>
      <c r="C3" s="44" t="s">
        <v>126</v>
      </c>
      <c r="D3" s="57" t="s">
        <v>24</v>
      </c>
      <c r="E3" s="57"/>
      <c r="F3" s="57" t="s">
        <v>37</v>
      </c>
      <c r="G3" s="58" t="s">
        <v>30</v>
      </c>
      <c r="H3" s="46">
        <v>70.5</v>
      </c>
      <c r="I3" s="47">
        <v>4.5</v>
      </c>
      <c r="J3" s="48">
        <f>Twirling_Solo_Program28910111213141516173738394046[[#This Row],[Judge 1
Tamara Beljak]]-I3</f>
        <v>66</v>
      </c>
      <c r="K3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Row],[Category]],Twirling_Solo_Program28910111213141516173738394046[J1 TOTAL],"&gt;"&amp;Twirling_Solo_Program28910111213141516173738394046[[#This Row],[J1 TOTAL]])+1</f>
        <v>2</v>
      </c>
      <c r="L3" s="46">
        <v>74.900000000000006</v>
      </c>
      <c r="M3" s="47">
        <v>4</v>
      </c>
      <c r="N3" s="48">
        <f>Twirling_Solo_Program28910111213141516173738394046[[#This Row],[Judge 2
Tihomir Bendelja]]-Twirling_Solo_Program28910111213141516173738394046[[#This Row],[J2 (-)]]</f>
        <v>70.900000000000006</v>
      </c>
      <c r="O3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Row],[Category]],Twirling_Solo_Program28910111213141516173738394046[J2 TOTAL],"&gt;"&amp;Twirling_Solo_Program28910111213141516173738394046[[#This Row],[J2 TOTAL]])+1</f>
        <v>2</v>
      </c>
      <c r="P3" s="46">
        <v>76</v>
      </c>
      <c r="Q3" s="47">
        <v>4.2</v>
      </c>
      <c r="R3" s="48">
        <f>Twirling_Solo_Program28910111213141516173738394046[[#This Row],[Judge 3
Lucija Ljubičić]]-Q3</f>
        <v>71.8</v>
      </c>
      <c r="S3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Row],[Category]],Twirling_Solo_Program28910111213141516173738394046[J3 TOTAL],"&gt;"&amp;Twirling_Solo_Program28910111213141516173738394046[[#This Row],[J3 TOTAL]])+1</f>
        <v>2</v>
      </c>
      <c r="T3" s="46">
        <v>73.599999999999994</v>
      </c>
      <c r="U3" s="47">
        <v>4.2</v>
      </c>
      <c r="V3" s="48">
        <f>Twirling_Solo_Program28910111213141516173738394046[[#This Row],[Judge 4
Bernard Barač]]-U3</f>
        <v>69.399999999999991</v>
      </c>
      <c r="W3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Row],[Category]],Twirling_Solo_Program28910111213141516173738394046[J4 TOTAL],"&gt;"&amp;Twirling_Solo_Program28910111213141516173738394046[[#This Row],[J4 TOTAL]])+1</f>
        <v>2</v>
      </c>
      <c r="X3" s="62">
        <f>SUM(Twirling_Solo_Program28910111213141516173738394046[[#This Row],[J1 TOTAL]]+Twirling_Solo_Program28910111213141516173738394046[[#This Row],[J2 TOTAL]]+Twirling_Solo_Program28910111213141516173738394046[[#This Row],[J3 TOTAL]]+Twirling_Solo_Program28910111213141516173738394046[[#This Row],[J4 TOTAL]])</f>
        <v>278.09999999999997</v>
      </c>
      <c r="Y3" s="50">
        <f>MIN(Twirling_Solo_Program28910111213141516173738394046[[#This Row],[J1 TOTAL]],Twirling_Solo_Program28910111213141516173738394046[[#This Row],[J2 TOTAL]],Twirling_Solo_Program28910111213141516173738394046[[#This Row],[J3 TOTAL]],Twirling_Solo_Program28910111213141516173738394046[[#This Row],[J4 TOTAL]])</f>
        <v>66</v>
      </c>
      <c r="Z3" s="50">
        <f>MAX(Twirling_Solo_Program28910111213141516173738394046[[#This Row],[J1 TOTAL]],Twirling_Solo_Program28910111213141516173738394046[[#This Row],[J2 TOTAL]],Twirling_Solo_Program28910111213141516173738394046[[#This Row],[J3 TOTAL]],Twirling_Solo_Program28910111213141516173738394046[[#This Row],[J4 TOTAL]])</f>
        <v>71.8</v>
      </c>
      <c r="AA3" s="50">
        <f>SUM(Twirling_Solo_Program28910111213141516173738394046[[#This Row],[Total]]-Twirling_Solo_Program28910111213141516173738394046[[#This Row],[Low]]-Twirling_Solo_Program28910111213141516173738394046[[#This Row],[High]])</f>
        <v>140.29999999999995</v>
      </c>
      <c r="AB3" s="59">
        <f>AVERAGE(H3,L3,P3,T3)</f>
        <v>73.75</v>
      </c>
      <c r="AC3" s="51">
        <f>Twirling_Solo_Program28910111213141516173738394046[[#This Row],[Final Total]]</f>
        <v>140.29999999999995</v>
      </c>
      <c r="AD3" s="60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Row],[Category]],Twirling_Solo_Program28910111213141516173738394046[FINAL SCORE],"&gt;"&amp;Twirling_Solo_Program28910111213141516173738394046[[#This Row],[FINAL SCORE]])+1</f>
        <v>2</v>
      </c>
      <c r="AE3" s="55" t="s">
        <v>27</v>
      </c>
    </row>
    <row r="4" spans="1:50" ht="15.6" x14ac:dyDescent="0.3">
      <c r="A4" s="61">
        <v>105</v>
      </c>
      <c r="B4" s="44"/>
      <c r="C4" s="44" t="s">
        <v>126</v>
      </c>
      <c r="D4" s="44" t="s">
        <v>24</v>
      </c>
      <c r="E4" s="44"/>
      <c r="F4" s="44" t="s">
        <v>104</v>
      </c>
      <c r="G4" s="45" t="s">
        <v>26</v>
      </c>
      <c r="H4" s="46">
        <v>70</v>
      </c>
      <c r="I4" s="47">
        <v>7.7</v>
      </c>
      <c r="J4" s="48">
        <f>Twirling_Solo_Program28910111213141516173738394046[[#This Row],[Judge 1
Tamara Beljak]]-I4</f>
        <v>62.3</v>
      </c>
      <c r="K4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Row],[Category]],Twirling_Solo_Program28910111213141516173738394046[J1 TOTAL],"&gt;"&amp;Twirling_Solo_Program28910111213141516173738394046[[#This Row],[J1 TOTAL]])+1</f>
        <v>3</v>
      </c>
      <c r="L4" s="46">
        <v>70.5</v>
      </c>
      <c r="M4" s="47">
        <v>7</v>
      </c>
      <c r="N4" s="48">
        <f>Twirling_Solo_Program28910111213141516173738394046[[#This Row],[Judge 2
Tihomir Bendelja]]-Twirling_Solo_Program28910111213141516173738394046[[#This Row],[J2 (-)]]</f>
        <v>63.5</v>
      </c>
      <c r="O4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Row],[Category]],Twirling_Solo_Program28910111213141516173738394046[J2 TOTAL],"&gt;"&amp;Twirling_Solo_Program28910111213141516173738394046[[#This Row],[J2 TOTAL]])+1</f>
        <v>3</v>
      </c>
      <c r="P4" s="46">
        <v>71</v>
      </c>
      <c r="Q4" s="47">
        <v>7.5</v>
      </c>
      <c r="R4" s="48">
        <f>Twirling_Solo_Program28910111213141516173738394046[[#This Row],[Judge 3
Lucija Ljubičić]]-Q4</f>
        <v>63.5</v>
      </c>
      <c r="S4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Row],[Category]],Twirling_Solo_Program28910111213141516173738394046[J3 TOTAL],"&gt;"&amp;Twirling_Solo_Program28910111213141516173738394046[[#This Row],[J3 TOTAL]])+1</f>
        <v>3</v>
      </c>
      <c r="T4" s="46">
        <v>71.900000000000006</v>
      </c>
      <c r="U4" s="47">
        <v>12.3</v>
      </c>
      <c r="V4" s="48">
        <f>Twirling_Solo_Program28910111213141516173738394046[[#This Row],[Judge 4
Bernard Barač]]-U4</f>
        <v>59.600000000000009</v>
      </c>
      <c r="W4" s="49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Row],[Category]],Twirling_Solo_Program28910111213141516173738394046[J4 TOTAL],"&gt;"&amp;Twirling_Solo_Program28910111213141516173738394046[[#This Row],[J4 TOTAL]])+1</f>
        <v>3</v>
      </c>
      <c r="X4" s="50">
        <f>SUM(Twirling_Solo_Program28910111213141516173738394046[[#This Row],[J1 TOTAL]]+Twirling_Solo_Program28910111213141516173738394046[[#This Row],[J2 TOTAL]]+Twirling_Solo_Program28910111213141516173738394046[[#This Row],[J3 TOTAL]]+Twirling_Solo_Program28910111213141516173738394046[[#This Row],[J4 TOTAL]])</f>
        <v>248.90000000000003</v>
      </c>
      <c r="Y4" s="50">
        <f>MIN(Twirling_Solo_Program28910111213141516173738394046[[#This Row],[J1 TOTAL]],Twirling_Solo_Program28910111213141516173738394046[[#This Row],[J2 TOTAL]],Twirling_Solo_Program28910111213141516173738394046[[#This Row],[J3 TOTAL]],Twirling_Solo_Program28910111213141516173738394046[[#This Row],[J4 TOTAL]])</f>
        <v>59.600000000000009</v>
      </c>
      <c r="Z4" s="50">
        <f>MAX(Twirling_Solo_Program28910111213141516173738394046[[#This Row],[J1 TOTAL]],Twirling_Solo_Program28910111213141516173738394046[[#This Row],[J2 TOTAL]],Twirling_Solo_Program28910111213141516173738394046[[#This Row],[J3 TOTAL]],Twirling_Solo_Program28910111213141516173738394046[[#This Row],[J4 TOTAL]])</f>
        <v>63.5</v>
      </c>
      <c r="AA4" s="50">
        <f>SUM(Twirling_Solo_Program28910111213141516173738394046[[#This Row],[Total]]-Twirling_Solo_Program28910111213141516173738394046[[#This Row],[Low]]-Twirling_Solo_Program28910111213141516173738394046[[#This Row],[High]])</f>
        <v>125.80000000000001</v>
      </c>
      <c r="AB4" s="50">
        <f>AVERAGE(H4,L4,P4,T4)</f>
        <v>70.849999999999994</v>
      </c>
      <c r="AC4" s="51">
        <f>Twirling_Solo_Program28910111213141516173738394046[[#This Row],[Final Total]]</f>
        <v>125.80000000000001</v>
      </c>
      <c r="AD4" s="52">
        <f>COUNTIFS(Twirling_Solo_Program28910111213141516173738394046[Age
Division],Twirling_Solo_Program28910111213141516173738394046[[#This Row],[Age
Division]],Twirling_Solo_Program28910111213141516173738394046[Category],Twirling_Solo_Program28910111213141516173738394046[[#This Row],[Category]],Twirling_Solo_Program28910111213141516173738394046[FINAL SCORE],"&gt;"&amp;Twirling_Solo_Program28910111213141516173738394046[[#This Row],[FINAL SCORE]])+1</f>
        <v>3</v>
      </c>
      <c r="AE4" s="55" t="s">
        <v>27</v>
      </c>
    </row>
  </sheetData>
  <sheetProtection algorithmName="SHA-512" hashValue="XoBmnyZvJ1JeudrpdcrdeiJYCIZnRUTD6RqBy/lXmfownB3WI9Sgi4gWR4+5ezfXfod+o0b8tk91B/ZCrz9prA==" saltValue="988IFeuTNe0TN3z1tWk8GA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X5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2.109375" style="43" bestFit="1" customWidth="1"/>
    <col min="4" max="4" width="7.44140625" style="53" customWidth="1"/>
    <col min="5" max="5" width="13.6640625" style="45" customWidth="1"/>
    <col min="6" max="6" width="49.5546875" style="45" bestFit="1" customWidth="1"/>
    <col min="7" max="7" width="13.33203125" style="45" bestFit="1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50</v>
      </c>
      <c r="B2" s="64">
        <v>1</v>
      </c>
      <c r="C2" s="44" t="s">
        <v>62</v>
      </c>
      <c r="D2" s="44" t="s">
        <v>33</v>
      </c>
      <c r="E2" s="44" t="s">
        <v>86</v>
      </c>
      <c r="F2" s="44" t="s">
        <v>25</v>
      </c>
      <c r="G2" s="44" t="s">
        <v>26</v>
      </c>
      <c r="H2" s="46"/>
      <c r="I2" s="47"/>
      <c r="J2" s="48">
        <f>Twirling_Solo_Program28910111213141516171819202223242526[[#This Row],[Judge 1
Tamara Beljak]]-I2</f>
        <v>0</v>
      </c>
      <c r="K2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Row],[Category]],Twirling_Solo_Program28910111213141516171819202223242526[J1 TOTAL],"&gt;"&amp;Twirling_Solo_Program28910111213141516171819202223242526[[#This Row],[J1 TOTAL]])+1</f>
        <v>1</v>
      </c>
      <c r="L2" s="46">
        <v>47.4</v>
      </c>
      <c r="M2" s="47">
        <v>0.5</v>
      </c>
      <c r="N2" s="48">
        <f>Twirling_Solo_Program28910111213141516171819202223242526[[#This Row],[Judge 2
Tihomir Bendelja]]-Twirling_Solo_Program28910111213141516171819202223242526[[#This Row],[J2 (-)]]</f>
        <v>46.9</v>
      </c>
      <c r="O2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Row],[Category]],Twirling_Solo_Program28910111213141516171819202223242526[J2 TOTAL],"&gt;"&amp;Twirling_Solo_Program28910111213141516171819202223242526[[#This Row],[J2 TOTAL]])+1</f>
        <v>1</v>
      </c>
      <c r="P2" s="46"/>
      <c r="Q2" s="47"/>
      <c r="R2" s="48">
        <f>Twirling_Solo_Program28910111213141516171819202223242526[[#This Row],[Judge 3
Lucija Ljubičić]]-Q2</f>
        <v>0</v>
      </c>
      <c r="S2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Row],[Category]],Twirling_Solo_Program28910111213141516171819202223242526[J3 TOTAL],"&gt;"&amp;Twirling_Solo_Program28910111213141516171819202223242526[[#This Row],[J3 TOTAL]])+1</f>
        <v>1</v>
      </c>
      <c r="T2" s="46">
        <v>48.2</v>
      </c>
      <c r="U2" s="47">
        <v>0.5</v>
      </c>
      <c r="V2" s="48">
        <f>Twirling_Solo_Program28910111213141516171819202223242526[[#This Row],[Judge 4
Bernard Barač]]-U2</f>
        <v>47.7</v>
      </c>
      <c r="W2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Row],[Category]],Twirling_Solo_Program28910111213141516171819202223242526[J4 TOTAL],"&gt;"&amp;Twirling_Solo_Program28910111213141516171819202223242526[[#This Row],[J4 TOTAL]])+1</f>
        <v>1</v>
      </c>
      <c r="X2" s="50">
        <f>SUM(Twirling_Solo_Program28910111213141516171819202223242526[[#This Row],[J1 TOTAL]]+Twirling_Solo_Program28910111213141516171819202223242526[[#This Row],[J2 TOTAL]]+Twirling_Solo_Program28910111213141516171819202223242526[[#This Row],[J3 TOTAL]]+Twirling_Solo_Program28910111213141516171819202223242526[[#This Row],[J4 TOTAL]])</f>
        <v>94.6</v>
      </c>
      <c r="Y2" s="50"/>
      <c r="Z2" s="50"/>
      <c r="AA2" s="50">
        <f>SUM(Twirling_Solo_Program28910111213141516171819202223242526[[#This Row],[Total]]-Twirling_Solo_Program28910111213141516171819202223242526[[#This Row],[Low]]-Twirling_Solo_Program28910111213141516171819202223242526[[#This Row],[High]])</f>
        <v>94.6</v>
      </c>
      <c r="AB2" s="50">
        <f>AVERAGE(H2,L2,P2,T2)</f>
        <v>47.8</v>
      </c>
      <c r="AC2" s="51">
        <f>Twirling_Solo_Program28910111213141516171819202223242526[[#This Row],[Final Total]]</f>
        <v>94.6</v>
      </c>
      <c r="AD2" s="52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Row],[Category]],Twirling_Solo_Program28910111213141516171819202223242526[FINAL SCORE],"&gt;"&amp;Twirling_Solo_Program28910111213141516171819202223242526[[#This Row],[FINAL SCORE]])+1</f>
        <v>1</v>
      </c>
      <c r="AE2" s="55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56</v>
      </c>
      <c r="B3" s="63">
        <v>1</v>
      </c>
      <c r="C3" s="44" t="s">
        <v>62</v>
      </c>
      <c r="D3" s="57" t="s">
        <v>33</v>
      </c>
      <c r="E3" s="57" t="s">
        <v>93</v>
      </c>
      <c r="F3" s="57" t="s">
        <v>31</v>
      </c>
      <c r="G3" s="57" t="s">
        <v>32</v>
      </c>
      <c r="H3" s="46"/>
      <c r="I3" s="47"/>
      <c r="J3" s="48">
        <f>Twirling_Solo_Program28910111213141516171819202223242526[[#This Row],[Judge 1
Tamara Beljak]]-I3</f>
        <v>0</v>
      </c>
      <c r="K3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Row],[Category]],Twirling_Solo_Program28910111213141516171819202223242526[J1 TOTAL],"&gt;"&amp;Twirling_Solo_Program28910111213141516171819202223242526[[#This Row],[J1 TOTAL]])+1</f>
        <v>1</v>
      </c>
      <c r="L3" s="46">
        <v>41.8</v>
      </c>
      <c r="M3" s="47">
        <v>1</v>
      </c>
      <c r="N3" s="48">
        <f>Twirling_Solo_Program28910111213141516171819202223242526[[#This Row],[Judge 2
Tihomir Bendelja]]-Twirling_Solo_Program28910111213141516171819202223242526[[#This Row],[J2 (-)]]</f>
        <v>40.799999999999997</v>
      </c>
      <c r="O3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Row],[Category]],Twirling_Solo_Program28910111213141516171819202223242526[J2 TOTAL],"&gt;"&amp;Twirling_Solo_Program28910111213141516171819202223242526[[#This Row],[J2 TOTAL]])+1</f>
        <v>3</v>
      </c>
      <c r="P3" s="46"/>
      <c r="Q3" s="47"/>
      <c r="R3" s="48">
        <f>Twirling_Solo_Program28910111213141516171819202223242526[[#This Row],[Judge 3
Lucija Ljubičić]]-Q3</f>
        <v>0</v>
      </c>
      <c r="S3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Row],[Category]],Twirling_Solo_Program28910111213141516171819202223242526[J3 TOTAL],"&gt;"&amp;Twirling_Solo_Program28910111213141516171819202223242526[[#This Row],[J3 TOTAL]])+1</f>
        <v>1</v>
      </c>
      <c r="T3" s="46">
        <v>43.2</v>
      </c>
      <c r="U3" s="47">
        <v>1</v>
      </c>
      <c r="V3" s="48">
        <f>Twirling_Solo_Program28910111213141516171819202223242526[[#This Row],[Judge 4
Bernard Barač]]-U3</f>
        <v>42.2</v>
      </c>
      <c r="W3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Row],[Category]],Twirling_Solo_Program28910111213141516171819202223242526[J4 TOTAL],"&gt;"&amp;Twirling_Solo_Program28910111213141516171819202223242526[[#This Row],[J4 TOTAL]])+1</f>
        <v>2</v>
      </c>
      <c r="X3" s="62">
        <f>SUM(Twirling_Solo_Program28910111213141516171819202223242526[[#This Row],[J1 TOTAL]]+Twirling_Solo_Program28910111213141516171819202223242526[[#This Row],[J2 TOTAL]]+Twirling_Solo_Program28910111213141516171819202223242526[[#This Row],[J3 TOTAL]]+Twirling_Solo_Program28910111213141516171819202223242526[[#This Row],[J4 TOTAL]])</f>
        <v>83</v>
      </c>
      <c r="Y3" s="50"/>
      <c r="Z3" s="50"/>
      <c r="AA3" s="50">
        <f>SUM(Twirling_Solo_Program28910111213141516171819202223242526[[#This Row],[Total]]-Twirling_Solo_Program28910111213141516171819202223242526[[#This Row],[Low]]-Twirling_Solo_Program28910111213141516171819202223242526[[#This Row],[High]])</f>
        <v>83</v>
      </c>
      <c r="AB3" s="59">
        <f>AVERAGE(H3,L3,P3,T3)</f>
        <v>42.5</v>
      </c>
      <c r="AC3" s="51">
        <f>Twirling_Solo_Program28910111213141516171819202223242526[[#This Row],[Final Total]]</f>
        <v>83</v>
      </c>
      <c r="AD3" s="60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Row],[Category]],Twirling_Solo_Program28910111213141516171819202223242526[FINAL SCORE],"&gt;"&amp;Twirling_Solo_Program28910111213141516171819202223242526[[#This Row],[FINAL SCORE]])+1</f>
        <v>2</v>
      </c>
      <c r="AE3" s="55" t="s">
        <v>51</v>
      </c>
    </row>
    <row r="4" spans="1:50" ht="15.6" x14ac:dyDescent="0.3">
      <c r="A4" s="56">
        <v>52</v>
      </c>
      <c r="B4" s="63">
        <v>1</v>
      </c>
      <c r="C4" s="44" t="s">
        <v>62</v>
      </c>
      <c r="D4" s="57" t="s">
        <v>33</v>
      </c>
      <c r="E4" s="57" t="s">
        <v>88</v>
      </c>
      <c r="F4" s="57" t="s">
        <v>40</v>
      </c>
      <c r="G4" s="57" t="s">
        <v>26</v>
      </c>
      <c r="H4" s="46"/>
      <c r="I4" s="47"/>
      <c r="J4" s="48">
        <f>Twirling_Solo_Program28910111213141516171819202223242526[[#This Row],[Judge 1
Tamara Beljak]]-I4</f>
        <v>0</v>
      </c>
      <c r="K4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Row],[Category]],Twirling_Solo_Program28910111213141516171819202223242526[J1 TOTAL],"&gt;"&amp;Twirling_Solo_Program28910111213141516171819202223242526[[#This Row],[J1 TOTAL]])+1</f>
        <v>1</v>
      </c>
      <c r="L4" s="46">
        <v>42.2</v>
      </c>
      <c r="M4" s="47">
        <v>0.5</v>
      </c>
      <c r="N4" s="48">
        <f>Twirling_Solo_Program28910111213141516171819202223242526[[#This Row],[Judge 2
Tihomir Bendelja]]-Twirling_Solo_Program28910111213141516171819202223242526[[#This Row],[J2 (-)]]</f>
        <v>41.7</v>
      </c>
      <c r="O4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Row],[Category]],Twirling_Solo_Program28910111213141516171819202223242526[J2 TOTAL],"&gt;"&amp;Twirling_Solo_Program28910111213141516171819202223242526[[#This Row],[J2 TOTAL]])+1</f>
        <v>2</v>
      </c>
      <c r="P4" s="46"/>
      <c r="Q4" s="47"/>
      <c r="R4" s="48">
        <f>Twirling_Solo_Program28910111213141516171819202223242526[[#This Row],[Judge 3
Lucija Ljubičić]]-Q4</f>
        <v>0</v>
      </c>
      <c r="S4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Row],[Category]],Twirling_Solo_Program28910111213141516171819202223242526[J3 TOTAL],"&gt;"&amp;Twirling_Solo_Program28910111213141516171819202223242526[[#This Row],[J3 TOTAL]])+1</f>
        <v>1</v>
      </c>
      <c r="T4" s="46">
        <v>41.3</v>
      </c>
      <c r="U4" s="47">
        <v>0.5</v>
      </c>
      <c r="V4" s="48">
        <f>Twirling_Solo_Program28910111213141516171819202223242526[[#This Row],[Judge 4
Bernard Barač]]-U4</f>
        <v>40.799999999999997</v>
      </c>
      <c r="W4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Row],[Category]],Twirling_Solo_Program28910111213141516171819202223242526[J4 TOTAL],"&gt;"&amp;Twirling_Solo_Program28910111213141516171819202223242526[[#This Row],[J4 TOTAL]])+1</f>
        <v>3</v>
      </c>
      <c r="X4" s="62">
        <f>SUM(Twirling_Solo_Program28910111213141516171819202223242526[[#This Row],[J1 TOTAL]]+Twirling_Solo_Program28910111213141516171819202223242526[[#This Row],[J2 TOTAL]]+Twirling_Solo_Program28910111213141516171819202223242526[[#This Row],[J3 TOTAL]]+Twirling_Solo_Program28910111213141516171819202223242526[[#This Row],[J4 TOTAL]])</f>
        <v>82.5</v>
      </c>
      <c r="Y4" s="50"/>
      <c r="Z4" s="50"/>
      <c r="AA4" s="50">
        <f>SUM(Twirling_Solo_Program28910111213141516171819202223242526[[#This Row],[Total]]-Twirling_Solo_Program28910111213141516171819202223242526[[#This Row],[Low]]-Twirling_Solo_Program28910111213141516171819202223242526[[#This Row],[High]])</f>
        <v>82.5</v>
      </c>
      <c r="AB4" s="59">
        <f>AVERAGE(H4,L4,P4,T4)</f>
        <v>41.75</v>
      </c>
      <c r="AC4" s="51">
        <f>Twirling_Solo_Program28910111213141516171819202223242526[[#This Row],[Final Total]]</f>
        <v>82.5</v>
      </c>
      <c r="AD4" s="60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Row],[Category]],Twirling_Solo_Program28910111213141516171819202223242526[FINAL SCORE],"&gt;"&amp;Twirling_Solo_Program28910111213141516171819202223242526[[#This Row],[FINAL SCORE]])+1</f>
        <v>3</v>
      </c>
      <c r="AE4" s="55" t="s">
        <v>51</v>
      </c>
    </row>
    <row r="5" spans="1:50" ht="15.6" x14ac:dyDescent="0.3">
      <c r="A5" s="56">
        <v>54</v>
      </c>
      <c r="B5" s="63">
        <v>1</v>
      </c>
      <c r="C5" s="44" t="s">
        <v>62</v>
      </c>
      <c r="D5" s="57" t="s">
        <v>33</v>
      </c>
      <c r="E5" s="57" t="s">
        <v>90</v>
      </c>
      <c r="F5" s="57" t="s">
        <v>77</v>
      </c>
      <c r="G5" s="57" t="s">
        <v>26</v>
      </c>
      <c r="H5" s="46"/>
      <c r="I5" s="47"/>
      <c r="J5" s="48">
        <f>Twirling_Solo_Program28910111213141516171819202223242526[[#This Row],[Judge 1
Tamara Beljak]]-I5</f>
        <v>0</v>
      </c>
      <c r="K5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Row],[Category]],Twirling_Solo_Program28910111213141516171819202223242526[J1 TOTAL],"&gt;"&amp;Twirling_Solo_Program28910111213141516171819202223242526[[#This Row],[J1 TOTAL]])+1</f>
        <v>1</v>
      </c>
      <c r="L5" s="46">
        <v>33.6</v>
      </c>
      <c r="M5" s="47">
        <v>1</v>
      </c>
      <c r="N5" s="48">
        <f>Twirling_Solo_Program28910111213141516171819202223242526[[#This Row],[Judge 2
Tihomir Bendelja]]-Twirling_Solo_Program28910111213141516171819202223242526[[#This Row],[J2 (-)]]</f>
        <v>32.6</v>
      </c>
      <c r="O5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Row],[Category]],Twirling_Solo_Program28910111213141516171819202223242526[J2 TOTAL],"&gt;"&amp;Twirling_Solo_Program28910111213141516171819202223242526[[#This Row],[J2 TOTAL]])+1</f>
        <v>4</v>
      </c>
      <c r="P5" s="46"/>
      <c r="Q5" s="47"/>
      <c r="R5" s="48">
        <f>Twirling_Solo_Program28910111213141516171819202223242526[[#This Row],[Judge 3
Lucija Ljubičić]]-Q5</f>
        <v>0</v>
      </c>
      <c r="S5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Row],[Category]],Twirling_Solo_Program28910111213141516171819202223242526[J3 TOTAL],"&gt;"&amp;Twirling_Solo_Program28910111213141516171819202223242526[[#This Row],[J3 TOTAL]])+1</f>
        <v>1</v>
      </c>
      <c r="T5" s="46">
        <v>38.200000000000003</v>
      </c>
      <c r="U5" s="47">
        <v>1</v>
      </c>
      <c r="V5" s="48">
        <f>Twirling_Solo_Program28910111213141516171819202223242526[[#This Row],[Judge 4
Bernard Barač]]-U5</f>
        <v>37.200000000000003</v>
      </c>
      <c r="W5" s="49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Row],[Category]],Twirling_Solo_Program28910111213141516171819202223242526[J4 TOTAL],"&gt;"&amp;Twirling_Solo_Program28910111213141516171819202223242526[[#This Row],[J4 TOTAL]])+1</f>
        <v>4</v>
      </c>
      <c r="X5" s="62">
        <f>SUM(Twirling_Solo_Program28910111213141516171819202223242526[[#This Row],[J1 TOTAL]]+Twirling_Solo_Program28910111213141516171819202223242526[[#This Row],[J2 TOTAL]]+Twirling_Solo_Program28910111213141516171819202223242526[[#This Row],[J3 TOTAL]]+Twirling_Solo_Program28910111213141516171819202223242526[[#This Row],[J4 TOTAL]])</f>
        <v>69.800000000000011</v>
      </c>
      <c r="Y5" s="50"/>
      <c r="Z5" s="50"/>
      <c r="AA5" s="50">
        <f>SUM(Twirling_Solo_Program28910111213141516171819202223242526[[#This Row],[Total]]-Twirling_Solo_Program28910111213141516171819202223242526[[#This Row],[Low]]-Twirling_Solo_Program28910111213141516171819202223242526[[#This Row],[High]])</f>
        <v>69.800000000000011</v>
      </c>
      <c r="AB5" s="59">
        <f>AVERAGE(H5,L5,P5,T5)</f>
        <v>35.900000000000006</v>
      </c>
      <c r="AC5" s="51">
        <f>Twirling_Solo_Program28910111213141516171819202223242526[[#This Row],[Final Total]]</f>
        <v>69.800000000000011</v>
      </c>
      <c r="AD5" s="60">
        <f>COUNTIFS(Twirling_Solo_Program28910111213141516171819202223242526[Age
Division],Twirling_Solo_Program28910111213141516171819202223242526[[#This Row],[Age
Division]],Twirling_Solo_Program28910111213141516171819202223242526[Category],Twirling_Solo_Program28910111213141516171819202223242526[[#This Row],[Category]],Twirling_Solo_Program28910111213141516171819202223242526[FINAL SCORE],"&gt;"&amp;Twirling_Solo_Program28910111213141516171819202223242526[[#This Row],[FINAL SCORE]])+1</f>
        <v>4</v>
      </c>
      <c r="AE5" s="55" t="s">
        <v>51</v>
      </c>
    </row>
  </sheetData>
  <sheetProtection algorithmName="SHA-512" hashValue="PL3Tmz4D0yUiHPrrvfMX130irjdVUtWDxExrn3MsinfEk0FupQTrdxe537LuyR3fpeEhUxsfWXQ1wvdI27L5wg==" saltValue="61t/JDrr89DxhKPQPXNub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10.5546875" style="43" customWidth="1"/>
    <col min="4" max="4" width="7.44140625" style="53" customWidth="1"/>
    <col min="5" max="5" width="40.77734375" style="45" hidden="1" customWidth="1"/>
    <col min="6" max="6" width="37.6640625" style="45" customWidth="1"/>
    <col min="7" max="7" width="7.7773437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108</v>
      </c>
      <c r="B2" s="44"/>
      <c r="C2" s="44" t="s">
        <v>126</v>
      </c>
      <c r="D2" s="44" t="s">
        <v>28</v>
      </c>
      <c r="E2" s="44"/>
      <c r="F2" s="44" t="s">
        <v>104</v>
      </c>
      <c r="G2" s="45" t="s">
        <v>26</v>
      </c>
      <c r="H2" s="46">
        <v>81</v>
      </c>
      <c r="I2" s="47">
        <v>7.9</v>
      </c>
      <c r="J2" s="48">
        <f>Twirling_Solo_Program2891011121314151617373839404647[[#This Row],[Judge 1
Tamara Beljak]]-I2</f>
        <v>73.099999999999994</v>
      </c>
      <c r="K2" s="49">
        <f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Row],[Category]],Twirling_Solo_Program2891011121314151617373839404647[J1 TOTAL],"&gt;"&amp;Twirling_Solo_Program2891011121314151617373839404647[[#This Row],[J1 TOTAL]])+1</f>
        <v>1</v>
      </c>
      <c r="L2" s="46">
        <v>79</v>
      </c>
      <c r="M2" s="47">
        <v>7.5</v>
      </c>
      <c r="N2" s="48">
        <f>Twirling_Solo_Program2891011121314151617373839404647[[#This Row],[Judge 2
Tihomir Bendelja]]-Twirling_Solo_Program2891011121314151617373839404647[[#This Row],[J2 (-)]]</f>
        <v>71.5</v>
      </c>
      <c r="O2" s="49">
        <f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Row],[Category]],Twirling_Solo_Program2891011121314151617373839404647[J2 TOTAL],"&gt;"&amp;Twirling_Solo_Program2891011121314151617373839404647[[#This Row],[J2 TOTAL]])+1</f>
        <v>1</v>
      </c>
      <c r="P2" s="46">
        <v>76.5</v>
      </c>
      <c r="Q2" s="47">
        <v>8.3000000000000007</v>
      </c>
      <c r="R2" s="48">
        <f>Twirling_Solo_Program2891011121314151617373839404647[[#This Row],[Judge 3
Lucija Ljubičić]]-Q2</f>
        <v>68.2</v>
      </c>
      <c r="S2" s="49">
        <f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Row],[Category]],Twirling_Solo_Program2891011121314151617373839404647[J3 TOTAL],"&gt;"&amp;Twirling_Solo_Program2891011121314151617373839404647[[#This Row],[J3 TOTAL]])+1</f>
        <v>1</v>
      </c>
      <c r="T2" s="46">
        <v>80.2</v>
      </c>
      <c r="U2" s="47">
        <v>7.5</v>
      </c>
      <c r="V2" s="48">
        <f>Twirling_Solo_Program2891011121314151617373839404647[[#This Row],[Judge 4
Bernard Barač]]-U2</f>
        <v>72.7</v>
      </c>
      <c r="W2" s="49">
        <f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Row],[Category]],Twirling_Solo_Program2891011121314151617373839404647[J4 TOTAL],"&gt;"&amp;Twirling_Solo_Program2891011121314151617373839404647[[#This Row],[J4 TOTAL]])+1</f>
        <v>1</v>
      </c>
      <c r="X2" s="50">
        <f>SUM(Twirling_Solo_Program2891011121314151617373839404647[[#This Row],[J1 TOTAL]]+Twirling_Solo_Program2891011121314151617373839404647[[#This Row],[J2 TOTAL]]+Twirling_Solo_Program2891011121314151617373839404647[[#This Row],[J3 TOTAL]]+Twirling_Solo_Program2891011121314151617373839404647[[#This Row],[J4 TOTAL]])</f>
        <v>285.5</v>
      </c>
      <c r="Y2" s="50">
        <f>MIN(Twirling_Solo_Program2891011121314151617373839404647[[#This Row],[J1 TOTAL]],Twirling_Solo_Program2891011121314151617373839404647[[#This Row],[J2 TOTAL]],Twirling_Solo_Program2891011121314151617373839404647[[#This Row],[J3 TOTAL]],Twirling_Solo_Program2891011121314151617373839404647[[#This Row],[J4 TOTAL]])</f>
        <v>68.2</v>
      </c>
      <c r="Z2" s="50">
        <f>MAX(Twirling_Solo_Program2891011121314151617373839404647[[#This Row],[J1 TOTAL]],Twirling_Solo_Program2891011121314151617373839404647[[#This Row],[J2 TOTAL]],Twirling_Solo_Program2891011121314151617373839404647[[#This Row],[J3 TOTAL]],Twirling_Solo_Program2891011121314151617373839404647[[#This Row],[J4 TOTAL]])</f>
        <v>73.099999999999994</v>
      </c>
      <c r="AA2" s="50">
        <f>SUM(Twirling_Solo_Program2891011121314151617373839404647[[#This Row],[Total]]-Twirling_Solo_Program2891011121314151617373839404647[[#This Row],[Low]]-Twirling_Solo_Program2891011121314151617373839404647[[#This Row],[High]])</f>
        <v>144.20000000000002</v>
      </c>
      <c r="AB2" s="50">
        <f>AVERAGE(H2,L2,P2,T2)</f>
        <v>79.174999999999997</v>
      </c>
      <c r="AC2" s="51">
        <f>Twirling_Solo_Program2891011121314151617373839404647[[#This Row],[Final Total]]</f>
        <v>144.20000000000002</v>
      </c>
      <c r="AD2" s="52">
        <f>COUNTIFS(Twirling_Solo_Program2891011121314151617373839404647[Age
Division],Twirling_Solo_Program2891011121314151617373839404647[[#This Row],[Age
Division]],Twirling_Solo_Program2891011121314151617373839404647[Category],Twirling_Solo_Program2891011121314151617373839404647[[#This Row],[Category]],Twirling_Solo_Program2891011121314151617373839404647[FINAL SCORE],"&gt;"&amp;Twirling_Solo_Program2891011121314151617373839404647[[#This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hDe1F7jqxR55KFwgMKkjQzpwQqLkWpTkgF3At+vRtLRTivQ+LFpHE+rnQry/B6qHHi6OGAj/LLks96FxtwyB7A==" saltValue="WZCbu738gZ2F0Q/zAJomx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11.21875" style="43" customWidth="1"/>
    <col min="4" max="4" width="9" style="53" customWidth="1"/>
    <col min="5" max="5" width="40.77734375" style="45" hidden="1" customWidth="1"/>
    <col min="6" max="6" width="39.44140625" style="45" customWidth="1"/>
    <col min="7" max="7" width="8.7773437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113</v>
      </c>
      <c r="B2" s="44"/>
      <c r="C2" s="44" t="s">
        <v>126</v>
      </c>
      <c r="D2" s="44" t="s">
        <v>33</v>
      </c>
      <c r="E2" s="44"/>
      <c r="F2" s="44" t="s">
        <v>104</v>
      </c>
      <c r="G2" s="45" t="s">
        <v>26</v>
      </c>
      <c r="H2" s="46">
        <v>85</v>
      </c>
      <c r="I2" s="47">
        <v>10.199999999999999</v>
      </c>
      <c r="J2" s="48">
        <f>Twirling_Solo_Program2891011121314151617373839404647484950[[#This Row],[Judge 1
Tamara Beljak]]-I2</f>
        <v>74.8</v>
      </c>
      <c r="K2" s="49">
        <f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Row],[Category]],Twirling_Solo_Program2891011121314151617373839404647484950[J1 TOTAL],"&gt;"&amp;Twirling_Solo_Program2891011121314151617373839404647484950[[#This Row],[J1 TOTAL]])+1</f>
        <v>1</v>
      </c>
      <c r="L2" s="46">
        <v>82.5</v>
      </c>
      <c r="M2" s="47">
        <v>10.5</v>
      </c>
      <c r="N2" s="48">
        <f>Twirling_Solo_Program2891011121314151617373839404647484950[[#This Row],[Judge 2
Tihomir Bendelja]]-Twirling_Solo_Program2891011121314151617373839404647484950[[#This Row],[J2 (-)]]</f>
        <v>72</v>
      </c>
      <c r="O2" s="49">
        <f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Row],[Category]],Twirling_Solo_Program2891011121314151617373839404647484950[J2 TOTAL],"&gt;"&amp;Twirling_Solo_Program2891011121314151617373839404647484950[[#This Row],[J2 TOTAL]])+1</f>
        <v>1</v>
      </c>
      <c r="P2" s="46">
        <v>82</v>
      </c>
      <c r="Q2" s="47">
        <v>11</v>
      </c>
      <c r="R2" s="48">
        <f>Twirling_Solo_Program2891011121314151617373839404647484950[[#This Row],[Judge 3
Lucija Ljubičić]]-Q2</f>
        <v>71</v>
      </c>
      <c r="S2" s="49">
        <f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Row],[Category]],Twirling_Solo_Program2891011121314151617373839404647484950[J3 TOTAL],"&gt;"&amp;Twirling_Solo_Program2891011121314151617373839404647484950[[#This Row],[J3 TOTAL]])+1</f>
        <v>1</v>
      </c>
      <c r="T2" s="46">
        <v>88.5</v>
      </c>
      <c r="U2" s="47">
        <v>10.5</v>
      </c>
      <c r="V2" s="48">
        <f>Twirling_Solo_Program2891011121314151617373839404647484950[[#This Row],[Judge 4
Bernard Barač]]-U2</f>
        <v>78</v>
      </c>
      <c r="W2" s="49">
        <f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Row],[Category]],Twirling_Solo_Program2891011121314151617373839404647484950[J4 TOTAL],"&gt;"&amp;Twirling_Solo_Program2891011121314151617373839404647484950[[#This Row],[J4 TOTAL]])+1</f>
        <v>1</v>
      </c>
      <c r="X2" s="50">
        <f>SUM(Twirling_Solo_Program2891011121314151617373839404647484950[[#This Row],[J1 TOTAL]]+Twirling_Solo_Program2891011121314151617373839404647484950[[#This Row],[J2 TOTAL]]+Twirling_Solo_Program2891011121314151617373839404647484950[[#This Row],[J3 TOTAL]]+Twirling_Solo_Program2891011121314151617373839404647484950[[#This Row],[J4 TOTAL]])</f>
        <v>295.8</v>
      </c>
      <c r="Y2" s="50">
        <f>MIN(Twirling_Solo_Program2891011121314151617373839404647484950[[#This Row],[J1 TOTAL]],Twirling_Solo_Program2891011121314151617373839404647484950[[#This Row],[J2 TOTAL]],Twirling_Solo_Program2891011121314151617373839404647484950[[#This Row],[J3 TOTAL]],Twirling_Solo_Program2891011121314151617373839404647484950[[#This Row],[J4 TOTAL]])</f>
        <v>71</v>
      </c>
      <c r="Z2" s="50">
        <f>MAX(Twirling_Solo_Program2891011121314151617373839404647484950[[#This Row],[J1 TOTAL]],Twirling_Solo_Program2891011121314151617373839404647484950[[#This Row],[J2 TOTAL]],Twirling_Solo_Program2891011121314151617373839404647484950[[#This Row],[J3 TOTAL]],Twirling_Solo_Program2891011121314151617373839404647484950[[#This Row],[J4 TOTAL]])</f>
        <v>78</v>
      </c>
      <c r="AA2" s="50">
        <f>SUM(Twirling_Solo_Program2891011121314151617373839404647484950[[#This Row],[Total]]-Twirling_Solo_Program2891011121314151617373839404647484950[[#This Row],[Low]]-Twirling_Solo_Program2891011121314151617373839404647484950[[#This Row],[High]])</f>
        <v>146.80000000000001</v>
      </c>
      <c r="AB2" s="50">
        <f>AVERAGE(H2,L2,P2,T2)</f>
        <v>84.5</v>
      </c>
      <c r="AC2" s="51">
        <f>Twirling_Solo_Program2891011121314151617373839404647484950[[#This Row],[Final Total]]</f>
        <v>146.80000000000001</v>
      </c>
      <c r="AD2" s="52">
        <f>COUNTIFS(Twirling_Solo_Program2891011121314151617373839404647484950[Age
Division],Twirling_Solo_Program2891011121314151617373839404647484950[[#This Row],[Age
Division]],Twirling_Solo_Program2891011121314151617373839404647484950[Category],Twirling_Solo_Program2891011121314151617373839404647484950[[#This Row],[Category]],Twirling_Solo_Program2891011121314151617373839404647484950[FINAL SCORE],"&gt;"&amp;Twirling_Solo_Program2891011121314151617373839404647484950[[#This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OJMVgxWRq/qBZhkkcVEPF/q1kRU5LmsOfWH7Fepi+dA+IvJozlLu9p0+JbVKHRHvc0KWbmtqLJIN+RrxwQ3TLQ==" saltValue="dRbvyG5AjTLNN14zRDA6h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9.21875" style="43" customWidth="1"/>
    <col min="4" max="4" width="9.77734375" style="53" customWidth="1"/>
    <col min="5" max="5" width="40.77734375" style="45" hidden="1" customWidth="1"/>
    <col min="6" max="6" width="43.21875" style="45" customWidth="1"/>
    <col min="7" max="7" width="13.7773437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91</v>
      </c>
      <c r="B2" s="44"/>
      <c r="C2" s="44" t="s">
        <v>127</v>
      </c>
      <c r="D2" s="44" t="s">
        <v>24</v>
      </c>
      <c r="E2" s="44"/>
      <c r="F2" s="44" t="s">
        <v>37</v>
      </c>
      <c r="G2" s="45" t="s">
        <v>30</v>
      </c>
      <c r="H2" s="46">
        <v>69</v>
      </c>
      <c r="I2" s="47">
        <v>2.5</v>
      </c>
      <c r="J2" s="48">
        <f>Twirling_Solo_Program28910111213141516173738394041[[#This Row],[Judge 1
Tamara Beljak]]-I2</f>
        <v>66.5</v>
      </c>
      <c r="K2" s="49">
        <f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Row],[Category]],Twirling_Solo_Program28910111213141516173738394041[J1 TOTAL],"&gt;"&amp;Twirling_Solo_Program28910111213141516173738394041[[#This Row],[J1 TOTAL]])+1</f>
        <v>1</v>
      </c>
      <c r="L2" s="46">
        <v>72.2</v>
      </c>
      <c r="M2" s="47">
        <v>2</v>
      </c>
      <c r="N2" s="48">
        <f>Twirling_Solo_Program28910111213141516173738394041[[#This Row],[Judge 2
Tihomir Bendelja]]-Twirling_Solo_Program28910111213141516173738394041[[#This Row],[J2 (-)]]</f>
        <v>70.2</v>
      </c>
      <c r="O2" s="49">
        <f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Row],[Category]],Twirling_Solo_Program28910111213141516173738394041[J2 TOTAL],"&gt;"&amp;Twirling_Solo_Program28910111213141516173738394041[[#This Row],[J2 TOTAL]])+1</f>
        <v>1</v>
      </c>
      <c r="P2" s="46">
        <v>70</v>
      </c>
      <c r="Q2" s="47">
        <v>2.5</v>
      </c>
      <c r="R2" s="48">
        <f>Twirling_Solo_Program28910111213141516173738394041[[#This Row],[Judge 3
Lucija Ljubičić]]-Q2</f>
        <v>67.5</v>
      </c>
      <c r="S2" s="49">
        <f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Row],[Category]],Twirling_Solo_Program28910111213141516173738394041[J3 TOTAL],"&gt;"&amp;Twirling_Solo_Program28910111213141516173738394041[[#This Row],[J3 TOTAL]])+1</f>
        <v>1</v>
      </c>
      <c r="T2" s="46">
        <v>72.400000000000006</v>
      </c>
      <c r="U2" s="47">
        <v>2.2000000000000002</v>
      </c>
      <c r="V2" s="48">
        <f>Twirling_Solo_Program28910111213141516173738394041[[#This Row],[Judge 4
Bernard Barač]]-U2</f>
        <v>70.2</v>
      </c>
      <c r="W2" s="49">
        <f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Row],[Category]],Twirling_Solo_Program28910111213141516173738394041[J4 TOTAL],"&gt;"&amp;Twirling_Solo_Program28910111213141516173738394041[[#This Row],[J4 TOTAL]])+1</f>
        <v>1</v>
      </c>
      <c r="X2" s="50">
        <f>SUM(Twirling_Solo_Program28910111213141516173738394041[[#This Row],[J1 TOTAL]]+Twirling_Solo_Program28910111213141516173738394041[[#This Row],[J2 TOTAL]]+Twirling_Solo_Program28910111213141516173738394041[[#This Row],[J3 TOTAL]]+Twirling_Solo_Program28910111213141516173738394041[[#This Row],[J4 TOTAL]])</f>
        <v>274.39999999999998</v>
      </c>
      <c r="Y2" s="50">
        <f>MIN(Twirling_Solo_Program28910111213141516173738394041[[#This Row],[J1 TOTAL]],Twirling_Solo_Program28910111213141516173738394041[[#This Row],[J2 TOTAL]],Twirling_Solo_Program28910111213141516173738394041[[#This Row],[J3 TOTAL]],Twirling_Solo_Program28910111213141516173738394041[[#This Row],[J4 TOTAL]])</f>
        <v>66.5</v>
      </c>
      <c r="Z2" s="50">
        <f>MAX(Twirling_Solo_Program28910111213141516173738394041[[#This Row],[J1 TOTAL]],Twirling_Solo_Program28910111213141516173738394041[[#This Row],[J2 TOTAL]],Twirling_Solo_Program28910111213141516173738394041[[#This Row],[J3 TOTAL]],Twirling_Solo_Program28910111213141516173738394041[[#This Row],[J4 TOTAL]])</f>
        <v>70.2</v>
      </c>
      <c r="AA2" s="50">
        <f>SUM(Twirling_Solo_Program28910111213141516173738394041[[#This Row],[Total]]-Twirling_Solo_Program28910111213141516173738394041[[#This Row],[Low]]-Twirling_Solo_Program28910111213141516173738394041[[#This Row],[High]])</f>
        <v>137.69999999999999</v>
      </c>
      <c r="AB2" s="50">
        <f>AVERAGE(H2,L2,P2,T2)</f>
        <v>70.900000000000006</v>
      </c>
      <c r="AC2" s="51">
        <f>Twirling_Solo_Program28910111213141516173738394041[[#This Row],[Final Total]]</f>
        <v>137.69999999999999</v>
      </c>
      <c r="AD2" s="52">
        <f>COUNTIFS(Twirling_Solo_Program28910111213141516173738394041[Age
Division],Twirling_Solo_Program28910111213141516173738394041[[#This Row],[Age
Division]],Twirling_Solo_Program28910111213141516173738394041[Category],Twirling_Solo_Program28910111213141516173738394041[[#This Row],[Category]],Twirling_Solo_Program28910111213141516173738394041[FINAL SCORE],"&gt;"&amp;Twirling_Solo_Program28910111213141516173738394041[[#This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tvzTc2665f1mnF6zqIES+HRD9w6o0f+q4lsIryjKmq3uiRfs+KmWhtLgv6nyDhH0QJlE7+cXDlFt+03bSz/PWQ==" saltValue="UGQV6GgEbDwk+OWBLF5+F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88671875" style="43" customWidth="1"/>
    <col min="2" max="2" width="4.44140625" style="43" hidden="1" customWidth="1"/>
    <col min="3" max="3" width="11.109375" style="43" customWidth="1"/>
    <col min="4" max="4" width="9.6640625" style="53" bestFit="1" customWidth="1"/>
    <col min="5" max="5" width="40.77734375" style="45" hidden="1" customWidth="1"/>
    <col min="6" max="6" width="27.109375" style="45" customWidth="1"/>
    <col min="7" max="7" width="9.6640625" style="45" bestFit="1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92</v>
      </c>
      <c r="B2" s="44"/>
      <c r="C2" s="44" t="s">
        <v>127</v>
      </c>
      <c r="D2" s="44" t="s">
        <v>28</v>
      </c>
      <c r="E2" s="44"/>
      <c r="F2" s="44" t="s">
        <v>29</v>
      </c>
      <c r="G2" s="45" t="s">
        <v>30</v>
      </c>
      <c r="H2" s="46">
        <v>94</v>
      </c>
      <c r="I2" s="47">
        <v>1</v>
      </c>
      <c r="J2" s="48">
        <f>Twirling_Solo_Program2891011121314151617373839404142[[#This Row],[Judge 1
Tamara Beljak]]-I2</f>
        <v>93</v>
      </c>
      <c r="K2" s="49">
        <f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Row],[Category]],Twirling_Solo_Program2891011121314151617373839404142[J1 TOTAL],"&gt;"&amp;Twirling_Solo_Program2891011121314151617373839404142[[#This Row],[J1 TOTAL]])+1</f>
        <v>1</v>
      </c>
      <c r="L2" s="46">
        <v>93.5</v>
      </c>
      <c r="M2" s="47">
        <v>0.5</v>
      </c>
      <c r="N2" s="48">
        <f>Twirling_Solo_Program2891011121314151617373839404142[[#This Row],[Judge 2
Tihomir Bendelja]]-Twirling_Solo_Program2891011121314151617373839404142[[#This Row],[J2 (-)]]</f>
        <v>93</v>
      </c>
      <c r="O2" s="49">
        <f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Row],[Category]],Twirling_Solo_Program2891011121314151617373839404142[J2 TOTAL],"&gt;"&amp;Twirling_Solo_Program2891011121314151617373839404142[[#This Row],[J2 TOTAL]])+1</f>
        <v>1</v>
      </c>
      <c r="P2" s="46">
        <v>94</v>
      </c>
      <c r="Q2" s="47">
        <v>1</v>
      </c>
      <c r="R2" s="48">
        <f>Twirling_Solo_Program2891011121314151617373839404142[[#This Row],[Judge 3
Lucija Ljubičić]]-Q2</f>
        <v>93</v>
      </c>
      <c r="S2" s="49">
        <f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Row],[Category]],Twirling_Solo_Program2891011121314151617373839404142[J3 TOTAL],"&gt;"&amp;Twirling_Solo_Program2891011121314151617373839404142[[#This Row],[J3 TOTAL]])+1</f>
        <v>1</v>
      </c>
      <c r="T2" s="46">
        <v>95.4</v>
      </c>
      <c r="U2" s="47">
        <v>0.5</v>
      </c>
      <c r="V2" s="48">
        <f>Twirling_Solo_Program2891011121314151617373839404142[[#This Row],[Judge 4
Bernard Barač]]-U2</f>
        <v>94.9</v>
      </c>
      <c r="W2" s="49">
        <f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Row],[Category]],Twirling_Solo_Program2891011121314151617373839404142[J4 TOTAL],"&gt;"&amp;Twirling_Solo_Program2891011121314151617373839404142[[#This Row],[J4 TOTAL]])+1</f>
        <v>1</v>
      </c>
      <c r="X2" s="50">
        <f>SUM(Twirling_Solo_Program2891011121314151617373839404142[[#This Row],[J1 TOTAL]]+Twirling_Solo_Program2891011121314151617373839404142[[#This Row],[J2 TOTAL]]+Twirling_Solo_Program2891011121314151617373839404142[[#This Row],[J3 TOTAL]]+Twirling_Solo_Program2891011121314151617373839404142[[#This Row],[J4 TOTAL]])</f>
        <v>373.9</v>
      </c>
      <c r="Y2" s="50">
        <f>MIN(Twirling_Solo_Program2891011121314151617373839404142[[#This Row],[J1 TOTAL]],Twirling_Solo_Program2891011121314151617373839404142[[#This Row],[J2 TOTAL]],Twirling_Solo_Program2891011121314151617373839404142[[#This Row],[J3 TOTAL]],Twirling_Solo_Program2891011121314151617373839404142[[#This Row],[J4 TOTAL]])</f>
        <v>93</v>
      </c>
      <c r="Z2" s="50">
        <f>MAX(Twirling_Solo_Program2891011121314151617373839404142[[#This Row],[J1 TOTAL]],Twirling_Solo_Program2891011121314151617373839404142[[#This Row],[J2 TOTAL]],Twirling_Solo_Program2891011121314151617373839404142[[#This Row],[J3 TOTAL]],Twirling_Solo_Program2891011121314151617373839404142[[#This Row],[J4 TOTAL]])</f>
        <v>94.9</v>
      </c>
      <c r="AA2" s="50">
        <f>SUM(Twirling_Solo_Program2891011121314151617373839404142[[#This Row],[Total]]-Twirling_Solo_Program2891011121314151617373839404142[[#This Row],[Low]]-Twirling_Solo_Program2891011121314151617373839404142[[#This Row],[High]])</f>
        <v>185.99999999999997</v>
      </c>
      <c r="AB2" s="50">
        <f>AVERAGE(H2,L2,P2,T2)</f>
        <v>94.224999999999994</v>
      </c>
      <c r="AC2" s="51">
        <f>Twirling_Solo_Program2891011121314151617373839404142[[#This Row],[Final Total]]</f>
        <v>185.99999999999997</v>
      </c>
      <c r="AD2" s="52">
        <f>COUNTIFS(Twirling_Solo_Program2891011121314151617373839404142[Age
Division],Twirling_Solo_Program2891011121314151617373839404142[[#This Row],[Age
Division]],Twirling_Solo_Program2891011121314151617373839404142[Category],Twirling_Solo_Program2891011121314151617373839404142[[#This Row],[Category]],Twirling_Solo_Program2891011121314151617373839404142[FINAL SCORE],"&gt;"&amp;Twirling_Solo_Program2891011121314151617373839404142[[#This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Hh99wmxFDN8LiU5YGxYE6IeGc+ZwGQafOc6oZpgcC4KgvBSaY9LcLzPfoXIaSvdVdwpfyK2SkuL8AMUq8amZbw==" saltValue="84qp4XG4Ubd9J3Fs+bGRn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1" width="5.77734375" style="43" customWidth="1"/>
    <col min="2" max="2" width="4.44140625" style="43" hidden="1" customWidth="1"/>
    <col min="3" max="3" width="8.44140625" style="43" customWidth="1"/>
    <col min="4" max="4" width="7.88671875" style="53" customWidth="1"/>
    <col min="5" max="5" width="40.77734375" style="45" hidden="1" customWidth="1"/>
    <col min="6" max="6" width="26.5546875" style="45" customWidth="1"/>
    <col min="7" max="7" width="8.33203125" style="45" customWidth="1"/>
    <col min="8" max="9" width="9.21875" style="45" customWidth="1"/>
    <col min="10" max="22" width="9.21875" style="54" customWidth="1"/>
    <col min="23" max="23" width="9.21875" style="45" customWidth="1"/>
    <col min="24" max="24" width="9.21875" style="41" customWidth="1"/>
    <col min="25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87</v>
      </c>
      <c r="B2" s="44"/>
      <c r="C2" s="44" t="s">
        <v>123</v>
      </c>
      <c r="D2" s="44" t="s">
        <v>124</v>
      </c>
      <c r="E2" s="44"/>
      <c r="F2" s="44" t="s">
        <v>102</v>
      </c>
      <c r="G2" s="45" t="s">
        <v>30</v>
      </c>
      <c r="H2" s="46">
        <v>69</v>
      </c>
      <c r="I2" s="47">
        <v>1</v>
      </c>
      <c r="J2" s="48">
        <f>Twirling_Solo_Program289101112131415161737[[#This Row],[Judge 1
Tamara Beljak]]-I2</f>
        <v>68</v>
      </c>
      <c r="K2" s="49">
        <f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Row],[Category]],Twirling_Solo_Program289101112131415161737[J1 TOTAL],"&gt;"&amp;Twirling_Solo_Program289101112131415161737[[#This Row],[J1 TOTAL]])+1</f>
        <v>1</v>
      </c>
      <c r="L2" s="46">
        <v>73.8</v>
      </c>
      <c r="M2" s="47">
        <v>0.5</v>
      </c>
      <c r="N2" s="48">
        <f>Twirling_Solo_Program289101112131415161737[[#This Row],[Judge 2
Tihomir Bendelja]]-Twirling_Solo_Program289101112131415161737[[#This Row],[J2 (-)]]</f>
        <v>73.3</v>
      </c>
      <c r="O2" s="49">
        <f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Row],[Category]],Twirling_Solo_Program289101112131415161737[J2 TOTAL],"&gt;"&amp;Twirling_Solo_Program289101112131415161737[[#This Row],[J2 TOTAL]])+1</f>
        <v>1</v>
      </c>
      <c r="P2" s="46">
        <v>61.5</v>
      </c>
      <c r="Q2" s="47">
        <v>1.5</v>
      </c>
      <c r="R2" s="48">
        <f>Twirling_Solo_Program289101112131415161737[[#This Row],[Judge 3
Lucija Ljubičić]]-Q2</f>
        <v>60</v>
      </c>
      <c r="S2" s="49">
        <f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Row],[Category]],Twirling_Solo_Program289101112131415161737[J3 TOTAL],"&gt;"&amp;Twirling_Solo_Program289101112131415161737[[#This Row],[J3 TOTAL]])+1</f>
        <v>1</v>
      </c>
      <c r="T2" s="46">
        <v>75.8</v>
      </c>
      <c r="U2" s="47">
        <v>0.5</v>
      </c>
      <c r="V2" s="48">
        <f>Twirling_Solo_Program289101112131415161737[[#This Row],[Judge 4
Bernard Barač]]-U2</f>
        <v>75.3</v>
      </c>
      <c r="W2" s="49">
        <f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Row],[Category]],Twirling_Solo_Program289101112131415161737[J4 TOTAL],"&gt;"&amp;Twirling_Solo_Program289101112131415161737[[#This Row],[J4 TOTAL]])+1</f>
        <v>1</v>
      </c>
      <c r="X2" s="50">
        <f>SUM(Twirling_Solo_Program289101112131415161737[[#This Row],[J1 TOTAL]]+Twirling_Solo_Program289101112131415161737[[#This Row],[J2 TOTAL]]+Twirling_Solo_Program289101112131415161737[[#This Row],[J3 TOTAL]]+Twirling_Solo_Program289101112131415161737[[#This Row],[J4 TOTAL]])</f>
        <v>276.60000000000002</v>
      </c>
      <c r="Y2" s="50">
        <f>MIN(Twirling_Solo_Program289101112131415161737[[#This Row],[J1 TOTAL]],Twirling_Solo_Program289101112131415161737[[#This Row],[J2 TOTAL]],Twirling_Solo_Program289101112131415161737[[#This Row],[J3 TOTAL]],Twirling_Solo_Program289101112131415161737[[#This Row],[J4 TOTAL]])</f>
        <v>60</v>
      </c>
      <c r="Z2" s="50">
        <f>MAX(Twirling_Solo_Program289101112131415161737[[#This Row],[J1 TOTAL]],Twirling_Solo_Program289101112131415161737[[#This Row],[J2 TOTAL]],Twirling_Solo_Program289101112131415161737[[#This Row],[J3 TOTAL]],Twirling_Solo_Program289101112131415161737[[#This Row],[J4 TOTAL]])</f>
        <v>75.3</v>
      </c>
      <c r="AA2" s="50">
        <f>SUM(Twirling_Solo_Program289101112131415161737[[#This Row],[Total]]-Twirling_Solo_Program289101112131415161737[[#This Row],[Low]]-Twirling_Solo_Program289101112131415161737[[#This Row],[High]])</f>
        <v>141.30000000000001</v>
      </c>
      <c r="AB2" s="50">
        <f>AVERAGE(H2,L2,P2,T2)</f>
        <v>70.025000000000006</v>
      </c>
      <c r="AC2" s="51">
        <f>Twirling_Solo_Program289101112131415161737[[#This Row],[Final Total]]</f>
        <v>141.30000000000001</v>
      </c>
      <c r="AD2" s="52">
        <f>COUNTIFS(Twirling_Solo_Program289101112131415161737[Age
Division],Twirling_Solo_Program289101112131415161737[[#This Row],[Age
Division]],Twirling_Solo_Program289101112131415161737[Category],Twirling_Solo_Program289101112131415161737[[#This Row],[Category]],Twirling_Solo_Program289101112131415161737[FINAL SCORE],"&gt;"&amp;Twirling_Solo_Program289101112131415161737[[#This Row],[FINAL SCORE]])+1</f>
        <v>1</v>
      </c>
      <c r="AE2" s="55" t="s">
        <v>27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hYjAXg2Xhh37WSf45UgeWFHyk/voYxVk7zKJomjhmsf7HtO8zS0/MQelPsjazB5BNLJ5HP/v/gjgzUl0XpyAWA==" saltValue="9ptbaiGFuo6Y/yOFTLIPG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X3"/>
  <sheetViews>
    <sheetView zoomScale="80" zoomScaleNormal="80" workbookViewId="0">
      <pane ySplit="1" topLeftCell="A2" activePane="bottomLeft" state="frozen"/>
      <selection pane="bottomLeft" activeCell="AA2" sqref="AA2"/>
    </sheetView>
  </sheetViews>
  <sheetFormatPr defaultColWidth="9.21875" defaultRowHeight="14.4" x14ac:dyDescent="0.3"/>
  <cols>
    <col min="1" max="2" width="5.88671875" style="43" customWidth="1"/>
    <col min="3" max="3" width="14.33203125" style="43" bestFit="1" customWidth="1"/>
    <col min="4" max="4" width="10.77734375" style="53" customWidth="1"/>
    <col min="5" max="5" width="11.109375" style="45" bestFit="1" customWidth="1"/>
    <col min="6" max="6" width="41.33203125" style="45" bestFit="1" customWidth="1"/>
    <col min="7" max="7" width="6.6640625" style="45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48</v>
      </c>
      <c r="B2" s="63">
        <v>1</v>
      </c>
      <c r="C2" s="44" t="s">
        <v>49</v>
      </c>
      <c r="D2" s="57" t="s">
        <v>36</v>
      </c>
      <c r="E2" s="57" t="s">
        <v>84</v>
      </c>
      <c r="F2" s="57" t="s">
        <v>37</v>
      </c>
      <c r="G2" s="57" t="s">
        <v>30</v>
      </c>
      <c r="H2" s="46"/>
      <c r="I2" s="47"/>
      <c r="J2" s="48">
        <f>Twirling_Solo_Program289101112131415161718192022232425[[#This Row],[Judge 1
Tamara Beljak]]-I2</f>
        <v>0</v>
      </c>
      <c r="K2" s="49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Row],[Category]],Twirling_Solo_Program289101112131415161718192022232425[J1 TOTAL],"&gt;"&amp;Twirling_Solo_Program289101112131415161718192022232425[[#This Row],[J1 TOTAL]])+1</f>
        <v>1</v>
      </c>
      <c r="L2" s="46">
        <v>29.7</v>
      </c>
      <c r="M2" s="47">
        <v>0.5</v>
      </c>
      <c r="N2" s="48">
        <f>Twirling_Solo_Program289101112131415161718192022232425[[#This Row],[Judge 2
Tihomir Bendelja]]-Twirling_Solo_Program289101112131415161718192022232425[[#This Row],[J2 (-)]]</f>
        <v>29.2</v>
      </c>
      <c r="O2" s="49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Row],[Category]],Twirling_Solo_Program289101112131415161718192022232425[J2 TOTAL],"&gt;"&amp;Twirling_Solo_Program289101112131415161718192022232425[[#This Row],[J2 TOTAL]])+1</f>
        <v>1</v>
      </c>
      <c r="P2" s="46"/>
      <c r="Q2" s="47"/>
      <c r="R2" s="48">
        <f>Twirling_Solo_Program289101112131415161718192022232425[[#This Row],[Judge 3
Lucija Ljubičić]]-Q2</f>
        <v>0</v>
      </c>
      <c r="S2" s="49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Row],[Category]],Twirling_Solo_Program289101112131415161718192022232425[J3 TOTAL],"&gt;"&amp;Twirling_Solo_Program289101112131415161718192022232425[[#This Row],[J3 TOTAL]])+1</f>
        <v>1</v>
      </c>
      <c r="T2" s="46">
        <v>32.4</v>
      </c>
      <c r="U2" s="47">
        <v>0.5</v>
      </c>
      <c r="V2" s="48">
        <f>Twirling_Solo_Program289101112131415161718192022232425[[#This Row],[Judge 4
Bernard Barač]]-U2</f>
        <v>31.9</v>
      </c>
      <c r="W2" s="49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Row],[Category]],Twirling_Solo_Program289101112131415161718192022232425[J4 TOTAL],"&gt;"&amp;Twirling_Solo_Program289101112131415161718192022232425[[#This Row],[J4 TOTAL]])+1</f>
        <v>1</v>
      </c>
      <c r="X2" s="62">
        <f>SUM(Twirling_Solo_Program289101112131415161718192022232425[[#This Row],[J1 TOTAL]]+Twirling_Solo_Program289101112131415161718192022232425[[#This Row],[J2 TOTAL]]+Twirling_Solo_Program289101112131415161718192022232425[[#This Row],[J3 TOTAL]]+Twirling_Solo_Program289101112131415161718192022232425[[#This Row],[J4 TOTAL]])</f>
        <v>61.099999999999994</v>
      </c>
      <c r="Y2" s="50"/>
      <c r="Z2" s="50"/>
      <c r="AA2" s="50">
        <f>SUM(Twirling_Solo_Program289101112131415161718192022232425[[#This Row],[Total]]-Twirling_Solo_Program289101112131415161718192022232425[[#This Row],[Low]]-Twirling_Solo_Program289101112131415161718192022232425[[#This Row],[High]])</f>
        <v>61.099999999999994</v>
      </c>
      <c r="AB2" s="59">
        <f>AVERAGE(H2,L2,P2,T2)</f>
        <v>31.049999999999997</v>
      </c>
      <c r="AC2" s="51">
        <f>Twirling_Solo_Program289101112131415161718192022232425[[#This Row],[Final Total]]</f>
        <v>61.099999999999994</v>
      </c>
      <c r="AD2" s="60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Row],[Category]],Twirling_Solo_Program289101112131415161718192022232425[FINAL SCORE],"&gt;"&amp;Twirling_Solo_Program289101112131415161718192022232425[[#This Row],[FINAL SCORE]])+1</f>
        <v>1</v>
      </c>
      <c r="AE2" s="61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46</v>
      </c>
      <c r="B3" s="64">
        <v>1</v>
      </c>
      <c r="C3" s="44" t="s">
        <v>49</v>
      </c>
      <c r="D3" s="44" t="s">
        <v>36</v>
      </c>
      <c r="E3" s="44" t="s">
        <v>82</v>
      </c>
      <c r="F3" s="44" t="s">
        <v>29</v>
      </c>
      <c r="G3" s="44" t="s">
        <v>30</v>
      </c>
      <c r="H3" s="46"/>
      <c r="I3" s="47"/>
      <c r="J3" s="48">
        <f>Twirling_Solo_Program289101112131415161718192022232425[[#This Row],[Judge 1
Tamara Beljak]]-I3</f>
        <v>0</v>
      </c>
      <c r="K3" s="49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Row],[Category]],Twirling_Solo_Program289101112131415161718192022232425[J1 TOTAL],"&gt;"&amp;Twirling_Solo_Program289101112131415161718192022232425[[#This Row],[J1 TOTAL]])+1</f>
        <v>1</v>
      </c>
      <c r="L3" s="46">
        <v>26</v>
      </c>
      <c r="M3" s="47">
        <v>0.5</v>
      </c>
      <c r="N3" s="48">
        <f>Twirling_Solo_Program289101112131415161718192022232425[[#This Row],[Judge 2
Tihomir Bendelja]]-Twirling_Solo_Program289101112131415161718192022232425[[#This Row],[J2 (-)]]</f>
        <v>25.5</v>
      </c>
      <c r="O3" s="49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Row],[Category]],Twirling_Solo_Program289101112131415161718192022232425[J2 TOTAL],"&gt;"&amp;Twirling_Solo_Program289101112131415161718192022232425[[#This Row],[J2 TOTAL]])+1</f>
        <v>2</v>
      </c>
      <c r="P3" s="46"/>
      <c r="Q3" s="47"/>
      <c r="R3" s="48">
        <f>Twirling_Solo_Program289101112131415161718192022232425[[#This Row],[Judge 3
Lucija Ljubičić]]-Q3</f>
        <v>0</v>
      </c>
      <c r="S3" s="49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Row],[Category]],Twirling_Solo_Program289101112131415161718192022232425[J3 TOTAL],"&gt;"&amp;Twirling_Solo_Program289101112131415161718192022232425[[#This Row],[J3 TOTAL]])+1</f>
        <v>1</v>
      </c>
      <c r="T3" s="46">
        <v>28.3</v>
      </c>
      <c r="U3" s="47">
        <v>0.5</v>
      </c>
      <c r="V3" s="48">
        <f>Twirling_Solo_Program289101112131415161718192022232425[[#This Row],[Judge 4
Bernard Barač]]-U3</f>
        <v>27.8</v>
      </c>
      <c r="W3" s="49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Row],[Category]],Twirling_Solo_Program289101112131415161718192022232425[J4 TOTAL],"&gt;"&amp;Twirling_Solo_Program289101112131415161718192022232425[[#This Row],[J4 TOTAL]])+1</f>
        <v>2</v>
      </c>
      <c r="X3" s="50">
        <f>SUM(Twirling_Solo_Program289101112131415161718192022232425[[#This Row],[J1 TOTAL]]+Twirling_Solo_Program289101112131415161718192022232425[[#This Row],[J2 TOTAL]]+Twirling_Solo_Program289101112131415161718192022232425[[#This Row],[J3 TOTAL]]+Twirling_Solo_Program289101112131415161718192022232425[[#This Row],[J4 TOTAL]])</f>
        <v>53.3</v>
      </c>
      <c r="Y3" s="50"/>
      <c r="Z3" s="50"/>
      <c r="AA3" s="50">
        <f>SUM(Twirling_Solo_Program289101112131415161718192022232425[[#This Row],[Total]]-Twirling_Solo_Program289101112131415161718192022232425[[#This Row],[Low]]-Twirling_Solo_Program289101112131415161718192022232425[[#This Row],[High]])</f>
        <v>53.3</v>
      </c>
      <c r="AB3" s="50">
        <f>AVERAGE(H3,L3,P3,T3)</f>
        <v>27.15</v>
      </c>
      <c r="AC3" s="51">
        <f>Twirling_Solo_Program289101112131415161718192022232425[[#This Row],[Final Total]]</f>
        <v>53.3</v>
      </c>
      <c r="AD3" s="52">
        <f>COUNTIFS(Twirling_Solo_Program289101112131415161718192022232425[Age
Division],Twirling_Solo_Program289101112131415161718192022232425[[#This Row],[Age
Division]],Twirling_Solo_Program289101112131415161718192022232425[Category],Twirling_Solo_Program289101112131415161718192022232425[[#This Row],[Category]],Twirling_Solo_Program289101112131415161718192022232425[FINAL SCORE],"&gt;"&amp;Twirling_Solo_Program289101112131415161718192022232425[[#This Row],[FINAL SCORE]])+1</f>
        <v>2</v>
      </c>
      <c r="AE3" s="55" t="s">
        <v>51</v>
      </c>
    </row>
  </sheetData>
  <sheetProtection algorithmName="SHA-512" hashValue="Uits+D0Zd6WghE2b6EtsuUGqTeH4THaPvFYbRMOOV0KIefzRKFSjjGjsXCHxcJS607fkXurymJUmLTk8qH11rQ==" saltValue="EnTOfWp7TAmiU6kSEdlLi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X8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5.21875" style="43" customWidth="1"/>
    <col min="4" max="4" width="9.6640625" style="53" bestFit="1" customWidth="1"/>
    <col min="5" max="5" width="15.21875" style="45" customWidth="1"/>
    <col min="6" max="6" width="46" style="45" customWidth="1"/>
    <col min="7" max="7" width="7.77734375" style="45" customWidth="1"/>
    <col min="8" max="9" width="9.21875" style="45" customWidth="1"/>
    <col min="10" max="11" width="9.21875" style="54" customWidth="1"/>
    <col min="12" max="15" width="9.21875" style="54" hidden="1" customWidth="1"/>
    <col min="16" max="19" width="9.21875" style="54" customWidth="1"/>
    <col min="20" max="22" width="9.21875" style="54" hidden="1" customWidth="1"/>
    <col min="23" max="23" width="9.21875" style="45" hidden="1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6.10937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31</v>
      </c>
      <c r="B2" s="57">
        <v>2</v>
      </c>
      <c r="C2" s="44" t="s">
        <v>49</v>
      </c>
      <c r="D2" s="57" t="s">
        <v>24</v>
      </c>
      <c r="E2" s="57" t="s">
        <v>64</v>
      </c>
      <c r="F2" s="57" t="s">
        <v>65</v>
      </c>
      <c r="G2" s="58" t="s">
        <v>30</v>
      </c>
      <c r="H2" s="46">
        <v>42</v>
      </c>
      <c r="I2" s="47">
        <v>0</v>
      </c>
      <c r="J2" s="48">
        <f>Twirling_Solo_Program28910111213141516171819[[#This Row],[Judge 1
Tamara Beljak]]-I2</f>
        <v>42</v>
      </c>
      <c r="K2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Row],[Category]],Twirling_Solo_Program28910111213141516171819[J1 TOTAL],"&gt;"&amp;Twirling_Solo_Program28910111213141516171819[[#This Row],[J1 TOTAL]])+1</f>
        <v>1</v>
      </c>
      <c r="L2" s="46"/>
      <c r="M2" s="47"/>
      <c r="N2" s="48">
        <f>Twirling_Solo_Program28910111213141516171819[[#This Row],[Judge 2
Tihomir Bendelja]]-Twirling_Solo_Program28910111213141516171819[[#This Row],[J2 (-)]]</f>
        <v>0</v>
      </c>
      <c r="O2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Row],[Category]],Twirling_Solo_Program28910111213141516171819[J2 TOTAL],"&gt;"&amp;Twirling_Solo_Program28910111213141516171819[[#This Row],[J2 TOTAL]])+1</f>
        <v>1</v>
      </c>
      <c r="P2" s="46">
        <v>42</v>
      </c>
      <c r="Q2" s="47">
        <v>0</v>
      </c>
      <c r="R2" s="48">
        <f>Twirling_Solo_Program28910111213141516171819[[#This Row],[Judge 3
Lucija Ljubičić]]-Q2</f>
        <v>42</v>
      </c>
      <c r="S2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Row],[Category]],Twirling_Solo_Program28910111213141516171819[J3 TOTAL],"&gt;"&amp;Twirling_Solo_Program28910111213141516171819[[#This Row],[J3 TOTAL]])+1</f>
        <v>1</v>
      </c>
      <c r="T2" s="46"/>
      <c r="U2" s="47"/>
      <c r="V2" s="48">
        <f>Twirling_Solo_Program28910111213141516171819[[#This Row],[Judge 4
Bernard Barač]]-U2</f>
        <v>0</v>
      </c>
      <c r="W2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Row],[Category]],Twirling_Solo_Program28910111213141516171819[J4 TOTAL],"&gt;"&amp;Twirling_Solo_Program28910111213141516171819[[#This Row],[J4 TOTAL]])+1</f>
        <v>1</v>
      </c>
      <c r="X2" s="62">
        <f>SUM(Twirling_Solo_Program28910111213141516171819[[#This Row],[J1 TOTAL]]+Twirling_Solo_Program28910111213141516171819[[#This Row],[J2 TOTAL]]+Twirling_Solo_Program28910111213141516171819[[#This Row],[J3 TOTAL]]+Twirling_Solo_Program28910111213141516171819[[#This Row],[J4 TOTAL]])</f>
        <v>84</v>
      </c>
      <c r="Y2" s="50"/>
      <c r="Z2" s="50"/>
      <c r="AA2" s="50">
        <f>SUM(Twirling_Solo_Program28910111213141516171819[[#This Row],[Total]]-Twirling_Solo_Program28910111213141516171819[[#This Row],[Low]]-Twirling_Solo_Program28910111213141516171819[[#This Row],[High]])</f>
        <v>84</v>
      </c>
      <c r="AB2" s="59">
        <f t="shared" ref="AB2:AB8" si="0">AVERAGE(H2,L2,P2,T2)</f>
        <v>42</v>
      </c>
      <c r="AC2" s="51">
        <f>Twirling_Solo_Program28910111213141516171819[[#This Row],[Final Total]]</f>
        <v>84</v>
      </c>
      <c r="AD2" s="60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Row],[Category]],Twirling_Solo_Program28910111213141516171819[FINAL SCORE],"&gt;"&amp;Twirling_Solo_Program28910111213141516171819[[#This Row],[FINAL SCORE]])+1</f>
        <v>1</v>
      </c>
      <c r="AE2" s="55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56">
        <v>23</v>
      </c>
      <c r="B3" s="57">
        <v>2</v>
      </c>
      <c r="C3" s="44" t="s">
        <v>49</v>
      </c>
      <c r="D3" s="57" t="s">
        <v>24</v>
      </c>
      <c r="E3" s="57" t="s">
        <v>53</v>
      </c>
      <c r="F3" s="57" t="s">
        <v>25</v>
      </c>
      <c r="G3" s="58" t="s">
        <v>30</v>
      </c>
      <c r="H3" s="46">
        <v>40.200000000000003</v>
      </c>
      <c r="I3" s="47">
        <v>1</v>
      </c>
      <c r="J3" s="48">
        <f>Twirling_Solo_Program28910111213141516171819[[#This Row],[Judge 1
Tamara Beljak]]-I3</f>
        <v>39.200000000000003</v>
      </c>
      <c r="K3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Row],[Category]],Twirling_Solo_Program28910111213141516171819[J1 TOTAL],"&gt;"&amp;Twirling_Solo_Program28910111213141516171819[[#This Row],[J1 TOTAL]])+1</f>
        <v>2</v>
      </c>
      <c r="L3" s="46"/>
      <c r="M3" s="47"/>
      <c r="N3" s="48">
        <f>Twirling_Solo_Program28910111213141516171819[[#This Row],[Judge 2
Tihomir Bendelja]]-Twirling_Solo_Program28910111213141516171819[[#This Row],[J2 (-)]]</f>
        <v>0</v>
      </c>
      <c r="O3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Row],[Category]],Twirling_Solo_Program28910111213141516171819[J2 TOTAL],"&gt;"&amp;Twirling_Solo_Program28910111213141516171819[[#This Row],[J2 TOTAL]])+1</f>
        <v>1</v>
      </c>
      <c r="P3" s="46">
        <v>40.5</v>
      </c>
      <c r="Q3" s="47">
        <v>1</v>
      </c>
      <c r="R3" s="48">
        <f>Twirling_Solo_Program28910111213141516171819[[#This Row],[Judge 3
Lucija Ljubičić]]-Q3</f>
        <v>39.5</v>
      </c>
      <c r="S3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Row],[Category]],Twirling_Solo_Program28910111213141516171819[J3 TOTAL],"&gt;"&amp;Twirling_Solo_Program28910111213141516171819[[#This Row],[J3 TOTAL]])+1</f>
        <v>2</v>
      </c>
      <c r="T3" s="46"/>
      <c r="U3" s="47"/>
      <c r="V3" s="48">
        <f>Twirling_Solo_Program28910111213141516171819[[#This Row],[Judge 4
Bernard Barač]]-U3</f>
        <v>0</v>
      </c>
      <c r="W3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Row],[Category]],Twirling_Solo_Program28910111213141516171819[J4 TOTAL],"&gt;"&amp;Twirling_Solo_Program28910111213141516171819[[#This Row],[J4 TOTAL]])+1</f>
        <v>1</v>
      </c>
      <c r="X3" s="62">
        <f>SUM(Twirling_Solo_Program28910111213141516171819[[#This Row],[J1 TOTAL]]+Twirling_Solo_Program28910111213141516171819[[#This Row],[J2 TOTAL]]+Twirling_Solo_Program28910111213141516171819[[#This Row],[J3 TOTAL]]+Twirling_Solo_Program28910111213141516171819[[#This Row],[J4 TOTAL]])</f>
        <v>78.7</v>
      </c>
      <c r="Y3" s="50"/>
      <c r="Z3" s="50"/>
      <c r="AA3" s="50">
        <f>SUM(Twirling_Solo_Program28910111213141516171819[[#This Row],[Total]]-Twirling_Solo_Program28910111213141516171819[[#This Row],[Low]]-Twirling_Solo_Program28910111213141516171819[[#This Row],[High]])</f>
        <v>78.7</v>
      </c>
      <c r="AB3" s="59">
        <f t="shared" si="0"/>
        <v>40.35</v>
      </c>
      <c r="AC3" s="51">
        <f>Twirling_Solo_Program28910111213141516171819[[#This Row],[Final Total]]</f>
        <v>78.7</v>
      </c>
      <c r="AD3" s="60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Row],[Category]],Twirling_Solo_Program28910111213141516171819[FINAL SCORE],"&gt;"&amp;Twirling_Solo_Program28910111213141516171819[[#This Row],[FINAL SCORE]])+1</f>
        <v>2</v>
      </c>
      <c r="AE3" s="55" t="s">
        <v>51</v>
      </c>
    </row>
    <row r="4" spans="1:50" ht="15.6" x14ac:dyDescent="0.3">
      <c r="A4" s="56">
        <v>33</v>
      </c>
      <c r="B4" s="57">
        <v>2</v>
      </c>
      <c r="C4" s="44" t="s">
        <v>49</v>
      </c>
      <c r="D4" s="57" t="s">
        <v>24</v>
      </c>
      <c r="E4" s="57" t="s">
        <v>67</v>
      </c>
      <c r="F4" s="57" t="s">
        <v>29</v>
      </c>
      <c r="G4" s="58" t="s">
        <v>30</v>
      </c>
      <c r="H4" s="46">
        <v>35</v>
      </c>
      <c r="I4" s="47">
        <v>1.5</v>
      </c>
      <c r="J4" s="48">
        <f>Twirling_Solo_Program28910111213141516171819[[#This Row],[Judge 1
Tamara Beljak]]-I4</f>
        <v>33.5</v>
      </c>
      <c r="K4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Row],[Category]],Twirling_Solo_Program28910111213141516171819[J1 TOTAL],"&gt;"&amp;Twirling_Solo_Program28910111213141516171819[[#This Row],[J1 TOTAL]])+1</f>
        <v>3</v>
      </c>
      <c r="L4" s="46"/>
      <c r="M4" s="47"/>
      <c r="N4" s="48">
        <f>Twirling_Solo_Program28910111213141516171819[[#This Row],[Judge 2
Tihomir Bendelja]]-Twirling_Solo_Program28910111213141516171819[[#This Row],[J2 (-)]]</f>
        <v>0</v>
      </c>
      <c r="O4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Row],[Category]],Twirling_Solo_Program28910111213141516171819[J2 TOTAL],"&gt;"&amp;Twirling_Solo_Program28910111213141516171819[[#This Row],[J2 TOTAL]])+1</f>
        <v>1</v>
      </c>
      <c r="P4" s="46">
        <v>35</v>
      </c>
      <c r="Q4" s="47">
        <v>1.5</v>
      </c>
      <c r="R4" s="48">
        <f>Twirling_Solo_Program28910111213141516171819[[#This Row],[Judge 3
Lucija Ljubičić]]-Q4</f>
        <v>33.5</v>
      </c>
      <c r="S4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Row],[Category]],Twirling_Solo_Program28910111213141516171819[J3 TOTAL],"&gt;"&amp;Twirling_Solo_Program28910111213141516171819[[#This Row],[J3 TOTAL]])+1</f>
        <v>3</v>
      </c>
      <c r="T4" s="46"/>
      <c r="U4" s="47"/>
      <c r="V4" s="48">
        <f>Twirling_Solo_Program28910111213141516171819[[#This Row],[Judge 4
Bernard Barač]]-U4</f>
        <v>0</v>
      </c>
      <c r="W4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Row],[Category]],Twirling_Solo_Program28910111213141516171819[J4 TOTAL],"&gt;"&amp;Twirling_Solo_Program28910111213141516171819[[#This Row],[J4 TOTAL]])+1</f>
        <v>1</v>
      </c>
      <c r="X4" s="62">
        <f>SUM(Twirling_Solo_Program28910111213141516171819[[#This Row],[J1 TOTAL]]+Twirling_Solo_Program28910111213141516171819[[#This Row],[J2 TOTAL]]+Twirling_Solo_Program28910111213141516171819[[#This Row],[J3 TOTAL]]+Twirling_Solo_Program28910111213141516171819[[#This Row],[J4 TOTAL]])</f>
        <v>67</v>
      </c>
      <c r="Y4" s="50"/>
      <c r="Z4" s="50"/>
      <c r="AA4" s="50">
        <f>SUM(Twirling_Solo_Program28910111213141516171819[[#This Row],[Total]]-Twirling_Solo_Program28910111213141516171819[[#This Row],[Low]]-Twirling_Solo_Program28910111213141516171819[[#This Row],[High]])</f>
        <v>67</v>
      </c>
      <c r="AB4" s="59">
        <f t="shared" si="0"/>
        <v>35</v>
      </c>
      <c r="AC4" s="51">
        <f>Twirling_Solo_Program28910111213141516171819[[#This Row],[Final Total]]</f>
        <v>67</v>
      </c>
      <c r="AD4" s="60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Row],[Category]],Twirling_Solo_Program28910111213141516171819[FINAL SCORE],"&gt;"&amp;Twirling_Solo_Program28910111213141516171819[[#This Row],[FINAL SCORE]])+1</f>
        <v>3</v>
      </c>
      <c r="AE4" s="55" t="s">
        <v>51</v>
      </c>
    </row>
    <row r="5" spans="1:50" ht="15.6" x14ac:dyDescent="0.3">
      <c r="A5" s="61">
        <v>21</v>
      </c>
      <c r="B5" s="44">
        <v>2</v>
      </c>
      <c r="C5" s="44" t="s">
        <v>49</v>
      </c>
      <c r="D5" s="44" t="s">
        <v>24</v>
      </c>
      <c r="E5" s="44" t="s">
        <v>50</v>
      </c>
      <c r="F5" s="44" t="s">
        <v>37</v>
      </c>
      <c r="G5" s="45" t="s">
        <v>30</v>
      </c>
      <c r="H5" s="46">
        <v>28</v>
      </c>
      <c r="I5" s="47">
        <v>0.5</v>
      </c>
      <c r="J5" s="48">
        <f>Twirling_Solo_Program28910111213141516171819[[#This Row],[Judge 1
Tamara Beljak]]-I5</f>
        <v>27.5</v>
      </c>
      <c r="K5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Row],[Category]],Twirling_Solo_Program28910111213141516171819[J1 TOTAL],"&gt;"&amp;Twirling_Solo_Program28910111213141516171819[[#This Row],[J1 TOTAL]])+1</f>
        <v>4</v>
      </c>
      <c r="L5" s="46"/>
      <c r="M5" s="47"/>
      <c r="N5" s="48">
        <f>Twirling_Solo_Program28910111213141516171819[[#This Row],[Judge 2
Tihomir Bendelja]]-Twirling_Solo_Program28910111213141516171819[[#This Row],[J2 (-)]]</f>
        <v>0</v>
      </c>
      <c r="O5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Row],[Category]],Twirling_Solo_Program28910111213141516171819[J2 TOTAL],"&gt;"&amp;Twirling_Solo_Program28910111213141516171819[[#This Row],[J2 TOTAL]])+1</f>
        <v>1</v>
      </c>
      <c r="P5" s="46">
        <v>28.5</v>
      </c>
      <c r="Q5" s="47">
        <v>0.5</v>
      </c>
      <c r="R5" s="48">
        <f>Twirling_Solo_Program28910111213141516171819[[#This Row],[Judge 3
Lucija Ljubičić]]-Q5</f>
        <v>28</v>
      </c>
      <c r="S5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Row],[Category]],Twirling_Solo_Program28910111213141516171819[J3 TOTAL],"&gt;"&amp;Twirling_Solo_Program28910111213141516171819[[#This Row],[J3 TOTAL]])+1</f>
        <v>4</v>
      </c>
      <c r="T5" s="46"/>
      <c r="U5" s="47"/>
      <c r="V5" s="48">
        <f>Twirling_Solo_Program28910111213141516171819[[#This Row],[Judge 4
Bernard Barač]]-U5</f>
        <v>0</v>
      </c>
      <c r="W5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Row],[Category]],Twirling_Solo_Program28910111213141516171819[J4 TOTAL],"&gt;"&amp;Twirling_Solo_Program28910111213141516171819[[#This Row],[J4 TOTAL]])+1</f>
        <v>1</v>
      </c>
      <c r="X5" s="50">
        <f>SUM(Twirling_Solo_Program28910111213141516171819[[#This Row],[J1 TOTAL]]+Twirling_Solo_Program28910111213141516171819[[#This Row],[J2 TOTAL]]+Twirling_Solo_Program28910111213141516171819[[#This Row],[J3 TOTAL]]+Twirling_Solo_Program28910111213141516171819[[#This Row],[J4 TOTAL]])</f>
        <v>55.5</v>
      </c>
      <c r="Y5" s="50"/>
      <c r="Z5" s="50"/>
      <c r="AA5" s="50">
        <f>SUM(Twirling_Solo_Program28910111213141516171819[[#This Row],[Total]]-Twirling_Solo_Program28910111213141516171819[[#This Row],[Low]]-Twirling_Solo_Program28910111213141516171819[[#This Row],[High]])</f>
        <v>55.5</v>
      </c>
      <c r="AB5" s="50">
        <f t="shared" si="0"/>
        <v>28.25</v>
      </c>
      <c r="AC5" s="51">
        <f>Twirling_Solo_Program28910111213141516171819[[#This Row],[Final Total]]</f>
        <v>55.5</v>
      </c>
      <c r="AD5" s="52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Row],[Category]],Twirling_Solo_Program28910111213141516171819[FINAL SCORE],"&gt;"&amp;Twirling_Solo_Program28910111213141516171819[[#This Row],[FINAL SCORE]])+1</f>
        <v>4</v>
      </c>
      <c r="AE5" s="55" t="s">
        <v>51</v>
      </c>
    </row>
    <row r="6" spans="1:50" ht="15.6" x14ac:dyDescent="0.3">
      <c r="A6" s="56">
        <v>29</v>
      </c>
      <c r="B6" s="57">
        <v>2</v>
      </c>
      <c r="C6" s="44" t="s">
        <v>49</v>
      </c>
      <c r="D6" s="57" t="s">
        <v>24</v>
      </c>
      <c r="E6" s="57" t="s">
        <v>61</v>
      </c>
      <c r="F6" s="57" t="s">
        <v>37</v>
      </c>
      <c r="G6" s="58" t="s">
        <v>30</v>
      </c>
      <c r="H6" s="46">
        <v>21.6</v>
      </c>
      <c r="I6" s="47">
        <v>1</v>
      </c>
      <c r="J6" s="48">
        <f>Twirling_Solo_Program28910111213141516171819[[#This Row],[Judge 1
Tamara Beljak]]-I6</f>
        <v>20.6</v>
      </c>
      <c r="K6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Row],[Category]],Twirling_Solo_Program28910111213141516171819[J1 TOTAL],"&gt;"&amp;Twirling_Solo_Program28910111213141516171819[[#This Row],[J1 TOTAL]])+1</f>
        <v>5</v>
      </c>
      <c r="L6" s="46"/>
      <c r="M6" s="47"/>
      <c r="N6" s="48">
        <f>Twirling_Solo_Program28910111213141516171819[[#This Row],[Judge 2
Tihomir Bendelja]]-Twirling_Solo_Program28910111213141516171819[[#This Row],[J2 (-)]]</f>
        <v>0</v>
      </c>
      <c r="O6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Row],[Category]],Twirling_Solo_Program28910111213141516171819[J2 TOTAL],"&gt;"&amp;Twirling_Solo_Program28910111213141516171819[[#This Row],[J2 TOTAL]])+1</f>
        <v>1</v>
      </c>
      <c r="P6" s="46">
        <v>18</v>
      </c>
      <c r="Q6" s="47">
        <v>1</v>
      </c>
      <c r="R6" s="48">
        <f>Twirling_Solo_Program28910111213141516171819[[#This Row],[Judge 3
Lucija Ljubičić]]-Q6</f>
        <v>17</v>
      </c>
      <c r="S6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Row],[Category]],Twirling_Solo_Program28910111213141516171819[J3 TOTAL],"&gt;"&amp;Twirling_Solo_Program28910111213141516171819[[#This Row],[J3 TOTAL]])+1</f>
        <v>6</v>
      </c>
      <c r="T6" s="46"/>
      <c r="U6" s="47"/>
      <c r="V6" s="48">
        <f>Twirling_Solo_Program28910111213141516171819[[#This Row],[Judge 4
Bernard Barač]]-U6</f>
        <v>0</v>
      </c>
      <c r="W6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Row],[Category]],Twirling_Solo_Program28910111213141516171819[J4 TOTAL],"&gt;"&amp;Twirling_Solo_Program28910111213141516171819[[#This Row],[J4 TOTAL]])+1</f>
        <v>1</v>
      </c>
      <c r="X6" s="62">
        <f>SUM(Twirling_Solo_Program28910111213141516171819[[#This Row],[J1 TOTAL]]+Twirling_Solo_Program28910111213141516171819[[#This Row],[J2 TOTAL]]+Twirling_Solo_Program28910111213141516171819[[#This Row],[J3 TOTAL]]+Twirling_Solo_Program28910111213141516171819[[#This Row],[J4 TOTAL]])</f>
        <v>37.6</v>
      </c>
      <c r="Y6" s="50"/>
      <c r="Z6" s="50"/>
      <c r="AA6" s="50">
        <f>SUM(Twirling_Solo_Program28910111213141516171819[[#This Row],[Total]]-Twirling_Solo_Program28910111213141516171819[[#This Row],[Low]]-Twirling_Solo_Program28910111213141516171819[[#This Row],[High]])</f>
        <v>37.6</v>
      </c>
      <c r="AB6" s="59">
        <f t="shared" si="0"/>
        <v>19.8</v>
      </c>
      <c r="AC6" s="51">
        <f>Twirling_Solo_Program28910111213141516171819[[#This Row],[Final Total]]</f>
        <v>37.6</v>
      </c>
      <c r="AD6" s="60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Row],[Category]],Twirling_Solo_Program28910111213141516171819[FINAL SCORE],"&gt;"&amp;Twirling_Solo_Program28910111213141516171819[[#This Row],[FINAL SCORE]])+1</f>
        <v>5</v>
      </c>
      <c r="AE6" s="55" t="s">
        <v>51</v>
      </c>
    </row>
    <row r="7" spans="1:50" ht="15.6" x14ac:dyDescent="0.3">
      <c r="A7" s="56">
        <v>25</v>
      </c>
      <c r="B7" s="57">
        <v>2</v>
      </c>
      <c r="C7" s="44" t="s">
        <v>49</v>
      </c>
      <c r="D7" s="57" t="s">
        <v>24</v>
      </c>
      <c r="E7" s="57" t="s">
        <v>57</v>
      </c>
      <c r="F7" s="57" t="s">
        <v>29</v>
      </c>
      <c r="G7" s="58" t="s">
        <v>30</v>
      </c>
      <c r="H7" s="46">
        <v>20.5</v>
      </c>
      <c r="I7" s="47">
        <v>1.5</v>
      </c>
      <c r="J7" s="48">
        <f>Twirling_Solo_Program28910111213141516171819[[#This Row],[Judge 1
Tamara Beljak]]-I7</f>
        <v>19</v>
      </c>
      <c r="K7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Row],[Category]],Twirling_Solo_Program28910111213141516171819[J1 TOTAL],"&gt;"&amp;Twirling_Solo_Program28910111213141516171819[[#This Row],[J1 TOTAL]])+1</f>
        <v>6</v>
      </c>
      <c r="L7" s="46"/>
      <c r="M7" s="47"/>
      <c r="N7" s="48">
        <f>Twirling_Solo_Program28910111213141516171819[[#This Row],[Judge 2
Tihomir Bendelja]]-Twirling_Solo_Program28910111213141516171819[[#This Row],[J2 (-)]]</f>
        <v>0</v>
      </c>
      <c r="O7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Row],[Category]],Twirling_Solo_Program28910111213141516171819[J2 TOTAL],"&gt;"&amp;Twirling_Solo_Program28910111213141516171819[[#This Row],[J2 TOTAL]])+1</f>
        <v>1</v>
      </c>
      <c r="P7" s="46">
        <v>20.5</v>
      </c>
      <c r="Q7" s="47">
        <v>2.2999999999999998</v>
      </c>
      <c r="R7" s="48">
        <f>Twirling_Solo_Program28910111213141516171819[[#This Row],[Judge 3
Lucija Ljubičić]]-Q7</f>
        <v>18.2</v>
      </c>
      <c r="S7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Row],[Category]],Twirling_Solo_Program28910111213141516171819[J3 TOTAL],"&gt;"&amp;Twirling_Solo_Program28910111213141516171819[[#This Row],[J3 TOTAL]])+1</f>
        <v>5</v>
      </c>
      <c r="T7" s="46"/>
      <c r="U7" s="47"/>
      <c r="V7" s="48">
        <f>Twirling_Solo_Program28910111213141516171819[[#This Row],[Judge 4
Bernard Barač]]-U7</f>
        <v>0</v>
      </c>
      <c r="W7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Row],[Category]],Twirling_Solo_Program28910111213141516171819[J4 TOTAL],"&gt;"&amp;Twirling_Solo_Program28910111213141516171819[[#This Row],[J4 TOTAL]])+1</f>
        <v>1</v>
      </c>
      <c r="X7" s="62">
        <f>SUM(Twirling_Solo_Program28910111213141516171819[[#This Row],[J1 TOTAL]]+Twirling_Solo_Program28910111213141516171819[[#This Row],[J2 TOTAL]]+Twirling_Solo_Program28910111213141516171819[[#This Row],[J3 TOTAL]]+Twirling_Solo_Program28910111213141516171819[[#This Row],[J4 TOTAL]])</f>
        <v>37.200000000000003</v>
      </c>
      <c r="Y7" s="50"/>
      <c r="Z7" s="50"/>
      <c r="AA7" s="50">
        <f>SUM(Twirling_Solo_Program28910111213141516171819[[#This Row],[Total]]-Twirling_Solo_Program28910111213141516171819[[#This Row],[Low]]-Twirling_Solo_Program28910111213141516171819[[#This Row],[High]])</f>
        <v>37.200000000000003</v>
      </c>
      <c r="AB7" s="59">
        <f t="shared" si="0"/>
        <v>20.5</v>
      </c>
      <c r="AC7" s="51">
        <f>Twirling_Solo_Program28910111213141516171819[[#This Row],[Final Total]]</f>
        <v>37.200000000000003</v>
      </c>
      <c r="AD7" s="60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Row],[Category]],Twirling_Solo_Program28910111213141516171819[FINAL SCORE],"&gt;"&amp;Twirling_Solo_Program28910111213141516171819[[#This Row],[FINAL SCORE]])+1</f>
        <v>6</v>
      </c>
      <c r="AE7" s="55" t="s">
        <v>51</v>
      </c>
    </row>
    <row r="8" spans="1:50" ht="15.6" x14ac:dyDescent="0.3">
      <c r="A8" s="56">
        <v>27</v>
      </c>
      <c r="B8" s="57">
        <v>2</v>
      </c>
      <c r="C8" s="44" t="s">
        <v>49</v>
      </c>
      <c r="D8" s="57" t="s">
        <v>24</v>
      </c>
      <c r="E8" s="57" t="s">
        <v>59</v>
      </c>
      <c r="F8" s="57" t="s">
        <v>38</v>
      </c>
      <c r="G8" s="58" t="s">
        <v>30</v>
      </c>
      <c r="H8" s="46">
        <v>16.5</v>
      </c>
      <c r="I8" s="47">
        <v>2.5</v>
      </c>
      <c r="J8" s="48">
        <f>Twirling_Solo_Program28910111213141516171819[[#This Row],[Judge 1
Tamara Beljak]]-I8</f>
        <v>14</v>
      </c>
      <c r="K8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Row],[Category]],Twirling_Solo_Program28910111213141516171819[J1 TOTAL],"&gt;"&amp;Twirling_Solo_Program28910111213141516171819[[#This Row],[J1 TOTAL]])+1</f>
        <v>7</v>
      </c>
      <c r="L8" s="46"/>
      <c r="M8" s="47"/>
      <c r="N8" s="48">
        <f>Twirling_Solo_Program28910111213141516171819[[#This Row],[Judge 2
Tihomir Bendelja]]-Twirling_Solo_Program28910111213141516171819[[#This Row],[J2 (-)]]</f>
        <v>0</v>
      </c>
      <c r="O8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Row],[Category]],Twirling_Solo_Program28910111213141516171819[J2 TOTAL],"&gt;"&amp;Twirling_Solo_Program28910111213141516171819[[#This Row],[J2 TOTAL]])+1</f>
        <v>1</v>
      </c>
      <c r="P8" s="46">
        <v>19</v>
      </c>
      <c r="Q8" s="47">
        <v>2.5</v>
      </c>
      <c r="R8" s="48">
        <f>Twirling_Solo_Program28910111213141516171819[[#This Row],[Judge 3
Lucija Ljubičić]]-Q8</f>
        <v>16.5</v>
      </c>
      <c r="S8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Row],[Category]],Twirling_Solo_Program28910111213141516171819[J3 TOTAL],"&gt;"&amp;Twirling_Solo_Program28910111213141516171819[[#This Row],[J3 TOTAL]])+1</f>
        <v>7</v>
      </c>
      <c r="T8" s="46"/>
      <c r="U8" s="47"/>
      <c r="V8" s="48">
        <f>Twirling_Solo_Program28910111213141516171819[[#This Row],[Judge 4
Bernard Barač]]-U8</f>
        <v>0</v>
      </c>
      <c r="W8" s="49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Row],[Category]],Twirling_Solo_Program28910111213141516171819[J4 TOTAL],"&gt;"&amp;Twirling_Solo_Program28910111213141516171819[[#This Row],[J4 TOTAL]])+1</f>
        <v>1</v>
      </c>
      <c r="X8" s="62">
        <f>SUM(Twirling_Solo_Program28910111213141516171819[[#This Row],[J1 TOTAL]]+Twirling_Solo_Program28910111213141516171819[[#This Row],[J2 TOTAL]]+Twirling_Solo_Program28910111213141516171819[[#This Row],[J3 TOTAL]]+Twirling_Solo_Program28910111213141516171819[[#This Row],[J4 TOTAL]])</f>
        <v>30.5</v>
      </c>
      <c r="Y8" s="50"/>
      <c r="Z8" s="50"/>
      <c r="AA8" s="50">
        <f>SUM(Twirling_Solo_Program28910111213141516171819[[#This Row],[Total]]-Twirling_Solo_Program28910111213141516171819[[#This Row],[Low]]-Twirling_Solo_Program28910111213141516171819[[#This Row],[High]])</f>
        <v>30.5</v>
      </c>
      <c r="AB8" s="59">
        <f t="shared" si="0"/>
        <v>17.75</v>
      </c>
      <c r="AC8" s="51">
        <f>Twirling_Solo_Program28910111213141516171819[[#This Row],[Final Total]]</f>
        <v>30.5</v>
      </c>
      <c r="AD8" s="60">
        <f>COUNTIFS(Twirling_Solo_Program28910111213141516171819[Age
Division],Twirling_Solo_Program28910111213141516171819[[#This Row],[Age
Division]],Twirling_Solo_Program28910111213141516171819[Category],Twirling_Solo_Program28910111213141516171819[[#This Row],[Category]],Twirling_Solo_Program28910111213141516171819[FINAL SCORE],"&gt;"&amp;Twirling_Solo_Program28910111213141516171819[[#This Row],[FINAL SCORE]])+1</f>
        <v>7</v>
      </c>
      <c r="AE8" s="55" t="s">
        <v>51</v>
      </c>
    </row>
  </sheetData>
  <sheetProtection algorithmName="SHA-512" hashValue="w2XdT58mjc4c+SMUk3b2HTl7n/jhOCtLER6T3Ap+UFNpXorDVaNYNSvzD8FgV6quFQsoH4Z4mwxY1nYV/GOIBA==" saltValue="Htd9Z3vIphdgR4d0BX89+g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X6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2" customWidth="1"/>
    <col min="3" max="3" width="15.77734375" style="2" customWidth="1"/>
    <col min="4" max="4" width="8.6640625" style="13" customWidth="1"/>
    <col min="5" max="5" width="15.77734375" style="1" customWidth="1"/>
    <col min="6" max="6" width="43" style="1" customWidth="1"/>
    <col min="7" max="7" width="10.6640625" style="1" customWidth="1"/>
    <col min="8" max="9" width="9.21875" style="1" hidden="1" customWidth="1"/>
    <col min="10" max="11" width="9.21875" style="6" hidden="1" customWidth="1"/>
    <col min="12" max="15" width="9.21875" style="6" customWidth="1"/>
    <col min="16" max="19" width="9.21875" style="6" hidden="1" customWidth="1"/>
    <col min="20" max="22" width="9.21875" style="6" customWidth="1"/>
    <col min="23" max="23" width="9.21875" style="1" customWidth="1"/>
    <col min="24" max="24" width="9.21875" customWidth="1"/>
    <col min="25" max="26" width="9.77734375" style="1" hidden="1" customWidth="1"/>
    <col min="27" max="28" width="9.77734375" style="1" customWidth="1"/>
    <col min="29" max="29" width="7.5546875" style="1" customWidth="1"/>
    <col min="30" max="30" width="8.44140625" style="1" customWidth="1"/>
    <col min="31" max="16384" width="9.21875" style="1"/>
  </cols>
  <sheetData>
    <row r="1" spans="1:50" s="9" customFormat="1" ht="40.5" customHeight="1" x14ac:dyDescent="0.3">
      <c r="A1" s="14" t="s">
        <v>18</v>
      </c>
      <c r="B1" s="14" t="s">
        <v>0</v>
      </c>
      <c r="C1" s="19" t="s">
        <v>19</v>
      </c>
      <c r="D1" s="15" t="s">
        <v>20</v>
      </c>
      <c r="E1" s="16" t="s">
        <v>1</v>
      </c>
      <c r="F1" s="16" t="s">
        <v>2</v>
      </c>
      <c r="G1" s="16" t="s">
        <v>3</v>
      </c>
      <c r="H1" s="22" t="s">
        <v>4</v>
      </c>
      <c r="I1" s="22" t="s">
        <v>5</v>
      </c>
      <c r="J1" s="22" t="s">
        <v>147</v>
      </c>
      <c r="K1" s="22" t="s">
        <v>6</v>
      </c>
      <c r="L1" s="25" t="s">
        <v>7</v>
      </c>
      <c r="M1" s="25" t="s">
        <v>8</v>
      </c>
      <c r="N1" s="25" t="s">
        <v>144</v>
      </c>
      <c r="O1" s="25" t="s">
        <v>9</v>
      </c>
      <c r="P1" s="22" t="s">
        <v>21</v>
      </c>
      <c r="Q1" s="22" t="s">
        <v>10</v>
      </c>
      <c r="R1" s="22" t="s">
        <v>145</v>
      </c>
      <c r="S1" s="22" t="s">
        <v>11</v>
      </c>
      <c r="T1" s="25" t="s">
        <v>22</v>
      </c>
      <c r="U1" s="25" t="s">
        <v>12</v>
      </c>
      <c r="V1" s="25" t="s">
        <v>146</v>
      </c>
      <c r="W1" s="25" t="s">
        <v>13</v>
      </c>
      <c r="X1" s="8" t="s">
        <v>15</v>
      </c>
      <c r="Y1" s="8" t="s">
        <v>141</v>
      </c>
      <c r="Z1" s="8" t="s">
        <v>142</v>
      </c>
      <c r="AA1" s="8" t="s">
        <v>143</v>
      </c>
      <c r="AB1" s="8" t="s">
        <v>14</v>
      </c>
      <c r="AC1" s="7" t="s">
        <v>16</v>
      </c>
      <c r="AD1" s="18" t="s">
        <v>17</v>
      </c>
      <c r="AE1" s="7" t="s">
        <v>148</v>
      </c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ht="15.6" x14ac:dyDescent="0.3">
      <c r="A2" s="30">
        <v>67</v>
      </c>
      <c r="B2" s="29">
        <v>1</v>
      </c>
      <c r="C2" s="12" t="s">
        <v>49</v>
      </c>
      <c r="D2" s="17" t="s">
        <v>28</v>
      </c>
      <c r="E2" s="17" t="s">
        <v>106</v>
      </c>
      <c r="F2" s="17" t="s">
        <v>37</v>
      </c>
      <c r="G2" s="17" t="s">
        <v>30</v>
      </c>
      <c r="H2" s="10"/>
      <c r="I2" s="3"/>
      <c r="J2" s="23">
        <f>Twirling_Solo_Program289101112131415161718192022232425262728293031[[#This Row],[Judge 1
Tamara Beljak]]-I2</f>
        <v>0</v>
      </c>
      <c r="K2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Row],[Category]],Twirling_Solo_Program289101112131415161718192022232425262728293031[J1 TOTAL],"&gt;"&amp;Twirling_Solo_Program289101112131415161718192022232425262728293031[[#This Row],[J1 TOTAL]])+1</f>
        <v>1</v>
      </c>
      <c r="L2" s="10">
        <v>34.799999999999997</v>
      </c>
      <c r="M2" s="3">
        <v>1.5</v>
      </c>
      <c r="N2" s="23">
        <f>Twirling_Solo_Program289101112131415161718192022232425262728293031[[#This Row],[Judge 2
Tihomir Bendelja]]-Twirling_Solo_Program289101112131415161718192022232425262728293031[[#This Row],[J2 (-)]]</f>
        <v>33.299999999999997</v>
      </c>
      <c r="O2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Row],[Category]],Twirling_Solo_Program289101112131415161718192022232425262728293031[J2 TOTAL],"&gt;"&amp;Twirling_Solo_Program289101112131415161718192022232425262728293031[[#This Row],[J2 TOTAL]])+1</f>
        <v>1</v>
      </c>
      <c r="P2" s="10"/>
      <c r="Q2" s="3"/>
      <c r="R2" s="23">
        <f>Twirling_Solo_Program289101112131415161718192022232425262728293031[[#This Row],[Judge 3
Lucija Ljubičić]]-Q2</f>
        <v>0</v>
      </c>
      <c r="S2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Row],[Category]],Twirling_Solo_Program289101112131415161718192022232425262728293031[J3 TOTAL],"&gt;"&amp;Twirling_Solo_Program289101112131415161718192022232425262728293031[[#This Row],[J3 TOTAL]])+1</f>
        <v>1</v>
      </c>
      <c r="T2" s="10">
        <v>34.5</v>
      </c>
      <c r="U2" s="3">
        <v>1.5</v>
      </c>
      <c r="V2" s="23">
        <f>Twirling_Solo_Program289101112131415161718192022232425262728293031[[#This Row],[Judge 4
Bernard Barač]]-U2</f>
        <v>33</v>
      </c>
      <c r="W2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Row],[Category]],Twirling_Solo_Program289101112131415161718192022232425262728293031[J4 TOTAL],"&gt;"&amp;Twirling_Solo_Program289101112131415161718192022232425262728293031[[#This Row],[J4 TOTAL]])+1</f>
        <v>1</v>
      </c>
      <c r="X2" s="27">
        <f>SUM(Twirling_Solo_Program289101112131415161718192022232425262728293031[[#This Row],[J1 TOTAL]]+Twirling_Solo_Program289101112131415161718192022232425262728293031[[#This Row],[J2 TOTAL]]+Twirling_Solo_Program289101112131415161718192022232425262728293031[[#This Row],[J3 TOTAL]]+Twirling_Solo_Program289101112131415161718192022232425262728293031[[#This Row],[J4 TOTAL]])</f>
        <v>66.3</v>
      </c>
      <c r="Y2" s="4"/>
      <c r="Z2" s="4"/>
      <c r="AA2" s="4">
        <f>Twirling_Solo_Program289101112131415161718192022232425262728293031[[#This Row],[Total]]</f>
        <v>66.3</v>
      </c>
      <c r="AB2" s="21">
        <f>AVERAGE(H2,L2,P2,T2)</f>
        <v>34.65</v>
      </c>
      <c r="AC2" s="11">
        <f>Twirling_Solo_Program289101112131415161718192022232425262728293031[[#This Row],[Final Total]]</f>
        <v>66.3</v>
      </c>
      <c r="AD2" s="20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Row],[Category]],Twirling_Solo_Program289101112131415161718192022232425262728293031[FINAL SCORE],"&gt;"&amp;Twirling_Solo_Program289101112131415161718192022232425262728293031[[#This Row],[FINAL SCORE]])+1</f>
        <v>1</v>
      </c>
      <c r="AE2" s="26" t="s">
        <v>51</v>
      </c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5.6" x14ac:dyDescent="0.3">
      <c r="A3" s="31">
        <v>61</v>
      </c>
      <c r="B3" s="28">
        <v>1</v>
      </c>
      <c r="C3" s="12" t="s">
        <v>49</v>
      </c>
      <c r="D3" s="12" t="s">
        <v>28</v>
      </c>
      <c r="E3" s="12" t="s">
        <v>99</v>
      </c>
      <c r="F3" s="12" t="s">
        <v>47</v>
      </c>
      <c r="G3" s="12" t="s">
        <v>30</v>
      </c>
      <c r="H3" s="10"/>
      <c r="I3" s="3"/>
      <c r="J3" s="23">
        <f>Twirling_Solo_Program289101112131415161718192022232425262728293031[[#This Row],[Judge 1
Tamara Beljak]]-I3</f>
        <v>0</v>
      </c>
      <c r="K3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Row],[Category]],Twirling_Solo_Program289101112131415161718192022232425262728293031[J1 TOTAL],"&gt;"&amp;Twirling_Solo_Program289101112131415161718192022232425262728293031[[#This Row],[J1 TOTAL]])+1</f>
        <v>1</v>
      </c>
      <c r="L3" s="10">
        <v>33</v>
      </c>
      <c r="M3" s="3">
        <v>1</v>
      </c>
      <c r="N3" s="23">
        <f>Twirling_Solo_Program289101112131415161718192022232425262728293031[[#This Row],[Judge 2
Tihomir Bendelja]]-Twirling_Solo_Program289101112131415161718192022232425262728293031[[#This Row],[J2 (-)]]</f>
        <v>32</v>
      </c>
      <c r="O3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Row],[Category]],Twirling_Solo_Program289101112131415161718192022232425262728293031[J2 TOTAL],"&gt;"&amp;Twirling_Solo_Program289101112131415161718192022232425262728293031[[#This Row],[J2 TOTAL]])+1</f>
        <v>2</v>
      </c>
      <c r="P3" s="10"/>
      <c r="Q3" s="3"/>
      <c r="R3" s="23">
        <f>Twirling_Solo_Program289101112131415161718192022232425262728293031[[#This Row],[Judge 3
Lucija Ljubičić]]-Q3</f>
        <v>0</v>
      </c>
      <c r="S3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Row],[Category]],Twirling_Solo_Program289101112131415161718192022232425262728293031[J3 TOTAL],"&gt;"&amp;Twirling_Solo_Program289101112131415161718192022232425262728293031[[#This Row],[J3 TOTAL]])+1</f>
        <v>1</v>
      </c>
      <c r="T3" s="10">
        <v>33.1</v>
      </c>
      <c r="U3" s="3">
        <v>1</v>
      </c>
      <c r="V3" s="23">
        <f>Twirling_Solo_Program289101112131415161718192022232425262728293031[[#This Row],[Judge 4
Bernard Barač]]-U3</f>
        <v>32.1</v>
      </c>
      <c r="W3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Row],[Category]],Twirling_Solo_Program289101112131415161718192022232425262728293031[J4 TOTAL],"&gt;"&amp;Twirling_Solo_Program289101112131415161718192022232425262728293031[[#This Row],[J4 TOTAL]])+1</f>
        <v>2</v>
      </c>
      <c r="X3" s="4">
        <f>SUM(Twirling_Solo_Program289101112131415161718192022232425262728293031[[#This Row],[J1 TOTAL]]+Twirling_Solo_Program289101112131415161718192022232425262728293031[[#This Row],[J2 TOTAL]]+Twirling_Solo_Program289101112131415161718192022232425262728293031[[#This Row],[J3 TOTAL]]+Twirling_Solo_Program289101112131415161718192022232425262728293031[[#This Row],[J4 TOTAL]])</f>
        <v>64.099999999999994</v>
      </c>
      <c r="Y3" s="4"/>
      <c r="Z3" s="4"/>
      <c r="AA3" s="4">
        <f>Twirling_Solo_Program289101112131415161718192022232425262728293031[[#This Row],[Total]]</f>
        <v>64.099999999999994</v>
      </c>
      <c r="AB3" s="4">
        <f>AVERAGE(H3,L3,P3,T3)</f>
        <v>33.049999999999997</v>
      </c>
      <c r="AC3" s="11">
        <f>Twirling_Solo_Program289101112131415161718192022232425262728293031[[#This Row],[Final Total]]</f>
        <v>64.099999999999994</v>
      </c>
      <c r="AD3" s="5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Row],[Category]],Twirling_Solo_Program289101112131415161718192022232425262728293031[FINAL SCORE],"&gt;"&amp;Twirling_Solo_Program289101112131415161718192022232425262728293031[[#This Row],[FINAL SCORE]])+1</f>
        <v>2</v>
      </c>
      <c r="AE3" s="26" t="s">
        <v>51</v>
      </c>
    </row>
    <row r="4" spans="1:50" ht="15.6" x14ac:dyDescent="0.3">
      <c r="A4" s="30">
        <v>65</v>
      </c>
      <c r="B4" s="29">
        <v>1</v>
      </c>
      <c r="C4" s="12" t="s">
        <v>49</v>
      </c>
      <c r="D4" s="17" t="s">
        <v>28</v>
      </c>
      <c r="E4" s="17" t="s">
        <v>92</v>
      </c>
      <c r="F4" s="17" t="s">
        <v>44</v>
      </c>
      <c r="G4" s="17" t="s">
        <v>30</v>
      </c>
      <c r="H4" s="10"/>
      <c r="I4" s="3"/>
      <c r="J4" s="23">
        <f>Twirling_Solo_Program289101112131415161718192022232425262728293031[[#This Row],[Judge 1
Tamara Beljak]]-I4</f>
        <v>0</v>
      </c>
      <c r="K4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Row],[Category]],Twirling_Solo_Program289101112131415161718192022232425262728293031[J1 TOTAL],"&gt;"&amp;Twirling_Solo_Program289101112131415161718192022232425262728293031[[#This Row],[J1 TOTAL]])+1</f>
        <v>1</v>
      </c>
      <c r="L4" s="10">
        <v>32.200000000000003</v>
      </c>
      <c r="M4" s="3">
        <v>1</v>
      </c>
      <c r="N4" s="23">
        <f>Twirling_Solo_Program289101112131415161718192022232425262728293031[[#This Row],[Judge 2
Tihomir Bendelja]]-Twirling_Solo_Program289101112131415161718192022232425262728293031[[#This Row],[J2 (-)]]</f>
        <v>31.200000000000003</v>
      </c>
      <c r="O4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Row],[Category]],Twirling_Solo_Program289101112131415161718192022232425262728293031[J2 TOTAL],"&gt;"&amp;Twirling_Solo_Program289101112131415161718192022232425262728293031[[#This Row],[J2 TOTAL]])+1</f>
        <v>3</v>
      </c>
      <c r="P4" s="10"/>
      <c r="Q4" s="3"/>
      <c r="R4" s="23">
        <f>Twirling_Solo_Program289101112131415161718192022232425262728293031[[#This Row],[Judge 3
Lucija Ljubičić]]-Q4</f>
        <v>0</v>
      </c>
      <c r="S4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Row],[Category]],Twirling_Solo_Program289101112131415161718192022232425262728293031[J3 TOTAL],"&gt;"&amp;Twirling_Solo_Program289101112131415161718192022232425262728293031[[#This Row],[J3 TOTAL]])+1</f>
        <v>1</v>
      </c>
      <c r="T4" s="10">
        <v>32.9</v>
      </c>
      <c r="U4" s="3">
        <v>1</v>
      </c>
      <c r="V4" s="23">
        <f>Twirling_Solo_Program289101112131415161718192022232425262728293031[[#This Row],[Judge 4
Bernard Barač]]-U4</f>
        <v>31.9</v>
      </c>
      <c r="W4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Row],[Category]],Twirling_Solo_Program289101112131415161718192022232425262728293031[J4 TOTAL],"&gt;"&amp;Twirling_Solo_Program289101112131415161718192022232425262728293031[[#This Row],[J4 TOTAL]])+1</f>
        <v>3</v>
      </c>
      <c r="X4" s="27">
        <f>SUM(Twirling_Solo_Program289101112131415161718192022232425262728293031[[#This Row],[J1 TOTAL]]+Twirling_Solo_Program289101112131415161718192022232425262728293031[[#This Row],[J2 TOTAL]]+Twirling_Solo_Program289101112131415161718192022232425262728293031[[#This Row],[J3 TOTAL]]+Twirling_Solo_Program289101112131415161718192022232425262728293031[[#This Row],[J4 TOTAL]])</f>
        <v>63.1</v>
      </c>
      <c r="Y4" s="4"/>
      <c r="Z4" s="4"/>
      <c r="AA4" s="4">
        <f>Twirling_Solo_Program289101112131415161718192022232425262728293031[[#This Row],[Total]]</f>
        <v>63.1</v>
      </c>
      <c r="AB4" s="21">
        <f>AVERAGE(H4,L4,P4,T4)</f>
        <v>32.549999999999997</v>
      </c>
      <c r="AC4" s="11">
        <f>Twirling_Solo_Program289101112131415161718192022232425262728293031[[#This Row],[Final Total]]</f>
        <v>63.1</v>
      </c>
      <c r="AD4" s="20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Row],[Category]],Twirling_Solo_Program289101112131415161718192022232425262728293031[FINAL SCORE],"&gt;"&amp;Twirling_Solo_Program289101112131415161718192022232425262728293031[[#This Row],[FINAL SCORE]])+1</f>
        <v>3</v>
      </c>
      <c r="AE4" s="26" t="s">
        <v>51</v>
      </c>
    </row>
    <row r="5" spans="1:50" ht="15.6" x14ac:dyDescent="0.3">
      <c r="A5" s="30">
        <v>69</v>
      </c>
      <c r="B5" s="29">
        <v>1</v>
      </c>
      <c r="C5" s="12" t="s">
        <v>49</v>
      </c>
      <c r="D5" s="17" t="s">
        <v>28</v>
      </c>
      <c r="E5" s="17" t="s">
        <v>108</v>
      </c>
      <c r="F5" s="17" t="s">
        <v>37</v>
      </c>
      <c r="G5" s="17" t="s">
        <v>30</v>
      </c>
      <c r="H5" s="10"/>
      <c r="I5" s="3"/>
      <c r="J5" s="23">
        <f>Twirling_Solo_Program289101112131415161718192022232425262728293031[[#This Row],[Judge 1
Tamara Beljak]]-I5</f>
        <v>0</v>
      </c>
      <c r="K5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Row],[Category]],Twirling_Solo_Program289101112131415161718192022232425262728293031[J1 TOTAL],"&gt;"&amp;Twirling_Solo_Program289101112131415161718192022232425262728293031[[#This Row],[J1 TOTAL]])+1</f>
        <v>1</v>
      </c>
      <c r="L5" s="10">
        <v>27</v>
      </c>
      <c r="M5" s="3">
        <v>1</v>
      </c>
      <c r="N5" s="23">
        <f>Twirling_Solo_Program289101112131415161718192022232425262728293031[[#This Row],[Judge 2
Tihomir Bendelja]]-Twirling_Solo_Program289101112131415161718192022232425262728293031[[#This Row],[J2 (-)]]</f>
        <v>26</v>
      </c>
      <c r="O5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Row],[Category]],Twirling_Solo_Program289101112131415161718192022232425262728293031[J2 TOTAL],"&gt;"&amp;Twirling_Solo_Program289101112131415161718192022232425262728293031[[#This Row],[J2 TOTAL]])+1</f>
        <v>4</v>
      </c>
      <c r="P5" s="10"/>
      <c r="Q5" s="3"/>
      <c r="R5" s="23">
        <f>Twirling_Solo_Program289101112131415161718192022232425262728293031[[#This Row],[Judge 3
Lucija Ljubičić]]-Q5</f>
        <v>0</v>
      </c>
      <c r="S5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Row],[Category]],Twirling_Solo_Program289101112131415161718192022232425262728293031[J3 TOTAL],"&gt;"&amp;Twirling_Solo_Program289101112131415161718192022232425262728293031[[#This Row],[J3 TOTAL]])+1</f>
        <v>1</v>
      </c>
      <c r="T5" s="10">
        <v>27.6</v>
      </c>
      <c r="U5" s="3">
        <v>1</v>
      </c>
      <c r="V5" s="23">
        <f>Twirling_Solo_Program289101112131415161718192022232425262728293031[[#This Row],[Judge 4
Bernard Barač]]-U5</f>
        <v>26.6</v>
      </c>
      <c r="W5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Row],[Category]],Twirling_Solo_Program289101112131415161718192022232425262728293031[J4 TOTAL],"&gt;"&amp;Twirling_Solo_Program289101112131415161718192022232425262728293031[[#This Row],[J4 TOTAL]])+1</f>
        <v>4</v>
      </c>
      <c r="X5" s="27">
        <f>SUM(Twirling_Solo_Program289101112131415161718192022232425262728293031[[#This Row],[J1 TOTAL]]+Twirling_Solo_Program289101112131415161718192022232425262728293031[[#This Row],[J2 TOTAL]]+Twirling_Solo_Program289101112131415161718192022232425262728293031[[#This Row],[J3 TOTAL]]+Twirling_Solo_Program289101112131415161718192022232425262728293031[[#This Row],[J4 TOTAL]])</f>
        <v>52.6</v>
      </c>
      <c r="Y5" s="4"/>
      <c r="Z5" s="4"/>
      <c r="AA5" s="4">
        <f>Twirling_Solo_Program289101112131415161718192022232425262728293031[[#This Row],[Total]]</f>
        <v>52.6</v>
      </c>
      <c r="AB5" s="21">
        <f>AVERAGE(H5,L5,P5,T5)</f>
        <v>27.3</v>
      </c>
      <c r="AC5" s="11">
        <f>Twirling_Solo_Program289101112131415161718192022232425262728293031[[#This Row],[Final Total]]</f>
        <v>52.6</v>
      </c>
      <c r="AD5" s="20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Row],[Category]],Twirling_Solo_Program289101112131415161718192022232425262728293031[FINAL SCORE],"&gt;"&amp;Twirling_Solo_Program289101112131415161718192022232425262728293031[[#This Row],[FINAL SCORE]])+1</f>
        <v>4</v>
      </c>
      <c r="AE5" s="26" t="s">
        <v>51</v>
      </c>
    </row>
    <row r="6" spans="1:50" ht="15.6" x14ac:dyDescent="0.3">
      <c r="A6" s="30">
        <v>63</v>
      </c>
      <c r="B6" s="29">
        <v>1</v>
      </c>
      <c r="C6" s="12" t="s">
        <v>49</v>
      </c>
      <c r="D6" s="17" t="s">
        <v>28</v>
      </c>
      <c r="E6" s="17" t="s">
        <v>101</v>
      </c>
      <c r="F6" s="17" t="s">
        <v>102</v>
      </c>
      <c r="G6" s="17" t="s">
        <v>30</v>
      </c>
      <c r="H6" s="10"/>
      <c r="I6" s="3"/>
      <c r="J6" s="23">
        <f>Twirling_Solo_Program289101112131415161718192022232425262728293031[[#This Row],[Judge 1
Tamara Beljak]]-I6</f>
        <v>0</v>
      </c>
      <c r="K6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Row],[Category]],Twirling_Solo_Program289101112131415161718192022232425262728293031[J1 TOTAL],"&gt;"&amp;Twirling_Solo_Program289101112131415161718192022232425262728293031[[#This Row],[J1 TOTAL]])+1</f>
        <v>1</v>
      </c>
      <c r="L6" s="10">
        <v>21.3</v>
      </c>
      <c r="M6" s="3">
        <v>3.5</v>
      </c>
      <c r="N6" s="23">
        <f>Twirling_Solo_Program289101112131415161718192022232425262728293031[[#This Row],[Judge 2
Tihomir Bendelja]]-Twirling_Solo_Program289101112131415161718192022232425262728293031[[#This Row],[J2 (-)]]</f>
        <v>17.8</v>
      </c>
      <c r="O6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Row],[Category]],Twirling_Solo_Program289101112131415161718192022232425262728293031[J2 TOTAL],"&gt;"&amp;Twirling_Solo_Program289101112131415161718192022232425262728293031[[#This Row],[J2 TOTAL]])+1</f>
        <v>5</v>
      </c>
      <c r="P6" s="10"/>
      <c r="Q6" s="3"/>
      <c r="R6" s="23">
        <f>Twirling_Solo_Program289101112131415161718192022232425262728293031[[#This Row],[Judge 3
Lucija Ljubičić]]-Q6</f>
        <v>0</v>
      </c>
      <c r="S6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Row],[Category]],Twirling_Solo_Program289101112131415161718192022232425262728293031[J3 TOTAL],"&gt;"&amp;Twirling_Solo_Program289101112131415161718192022232425262728293031[[#This Row],[J3 TOTAL]])+1</f>
        <v>1</v>
      </c>
      <c r="T6" s="10">
        <v>22.7</v>
      </c>
      <c r="U6" s="3">
        <v>3.5</v>
      </c>
      <c r="V6" s="23">
        <f>Twirling_Solo_Program289101112131415161718192022232425262728293031[[#This Row],[Judge 4
Bernard Barač]]-U6</f>
        <v>19.2</v>
      </c>
      <c r="W6" s="24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Row],[Category]],Twirling_Solo_Program289101112131415161718192022232425262728293031[J4 TOTAL],"&gt;"&amp;Twirling_Solo_Program289101112131415161718192022232425262728293031[[#This Row],[J4 TOTAL]])+1</f>
        <v>5</v>
      </c>
      <c r="X6" s="27">
        <f>SUM(Twirling_Solo_Program289101112131415161718192022232425262728293031[[#This Row],[J1 TOTAL]]+Twirling_Solo_Program289101112131415161718192022232425262728293031[[#This Row],[J2 TOTAL]]+Twirling_Solo_Program289101112131415161718192022232425262728293031[[#This Row],[J3 TOTAL]]+Twirling_Solo_Program289101112131415161718192022232425262728293031[[#This Row],[J4 TOTAL]])</f>
        <v>37</v>
      </c>
      <c r="Y6" s="4"/>
      <c r="Z6" s="4"/>
      <c r="AA6" s="4">
        <f>Twirling_Solo_Program289101112131415161718192022232425262728293031[[#This Row],[Total]]</f>
        <v>37</v>
      </c>
      <c r="AB6" s="21">
        <f>AVERAGE(H6,L6,P6,T6)</f>
        <v>22</v>
      </c>
      <c r="AC6" s="11">
        <f>Twirling_Solo_Program289101112131415161718192022232425262728293031[[#This Row],[Final Total]]</f>
        <v>37</v>
      </c>
      <c r="AD6" s="20">
        <f>COUNTIFS(Twirling_Solo_Program289101112131415161718192022232425262728293031[Age
Division],Twirling_Solo_Program289101112131415161718192022232425262728293031[[#This Row],[Age
Division]],Twirling_Solo_Program289101112131415161718192022232425262728293031[Category],Twirling_Solo_Program289101112131415161718192022232425262728293031[[#This Row],[Category]],Twirling_Solo_Program289101112131415161718192022232425262728293031[FINAL SCORE],"&gt;"&amp;Twirling_Solo_Program289101112131415161718192022232425262728293031[[#This Row],[FINAL SCORE]])+1</f>
        <v>5</v>
      </c>
      <c r="AE6" s="26" t="s">
        <v>51</v>
      </c>
    </row>
  </sheetData>
  <sheetProtection algorithmName="SHA-512" hashValue="gDQG6DDVQMSA0EQI66/RV5HGZ4lB4YIUmc786Cq9vDiWgCkeVvAHyFOiRTqHf38b6TsKr/gDStu/0ayxNsB/Dg==" saltValue="1nE3RO1GdqEbY4FL+BLxBg==" spinCount="100000" sheet="1" objects="1" scenarios="1" formatColumns="0" formatRows="0" autoFilter="0"/>
  <phoneticPr fontId="7" type="noConversion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X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4.5546875" style="43" customWidth="1"/>
    <col min="4" max="4" width="8.33203125" style="53" customWidth="1"/>
    <col min="5" max="5" width="12.33203125" style="45" customWidth="1"/>
    <col min="6" max="6" width="38.5546875" style="45" bestFit="1" customWidth="1"/>
    <col min="7" max="7" width="9.6640625" style="45" bestFit="1" customWidth="1"/>
    <col min="8" max="9" width="9.21875" style="45" customWidth="1"/>
    <col min="10" max="11" width="9.21875" style="54" customWidth="1"/>
    <col min="12" max="15" width="9.21875" style="54" hidden="1" customWidth="1"/>
    <col min="16" max="19" width="9.21875" style="54" customWidth="1"/>
    <col min="20" max="22" width="9.21875" style="54" hidden="1" customWidth="1"/>
    <col min="23" max="23" width="9.21875" style="45" hidden="1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56">
        <v>104</v>
      </c>
      <c r="B2" s="64">
        <v>2</v>
      </c>
      <c r="C2" s="44" t="s">
        <v>49</v>
      </c>
      <c r="D2" s="57" t="s">
        <v>33</v>
      </c>
      <c r="E2" s="57" t="s">
        <v>139</v>
      </c>
      <c r="F2" s="57" t="s">
        <v>104</v>
      </c>
      <c r="G2" s="57" t="s">
        <v>26</v>
      </c>
      <c r="H2" s="46">
        <v>41.3</v>
      </c>
      <c r="I2" s="47">
        <v>1.2</v>
      </c>
      <c r="J2" s="48">
        <f>Twirling_Solo_Program289101112131415161718192022232425262728293031343536434445[[#This Row],[Judge 1
Tamara Beljak]]-I2</f>
        <v>40.099999999999994</v>
      </c>
      <c r="K2" s="49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Row],[Category]],Twirling_Solo_Program289101112131415161718192022232425262728293031343536434445[J1 TOTAL],"&gt;"&amp;Twirling_Solo_Program289101112131415161718192022232425262728293031343536434445[[#This Row],[J1 TOTAL]])+1</f>
        <v>1</v>
      </c>
      <c r="L2" s="46"/>
      <c r="M2" s="47"/>
      <c r="N2" s="48">
        <f>Twirling_Solo_Program289101112131415161718192022232425262728293031343536434445[[#This Row],[Judge 2
Tihomir Bendelja]]-Twirling_Solo_Program289101112131415161718192022232425262728293031343536434445[[#This Row],[J2 (-)]]</f>
        <v>0</v>
      </c>
      <c r="O2" s="49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Row],[Category]],Twirling_Solo_Program289101112131415161718192022232425262728293031343536434445[J2 TOTAL],"&gt;"&amp;Twirling_Solo_Program289101112131415161718192022232425262728293031343536434445[[#This Row],[J2 TOTAL]])+1</f>
        <v>1</v>
      </c>
      <c r="P2" s="46">
        <v>39</v>
      </c>
      <c r="Q2" s="47">
        <v>1.2</v>
      </c>
      <c r="R2" s="48">
        <f>Twirling_Solo_Program289101112131415161718192022232425262728293031343536434445[[#This Row],[Judge 3
Lucija Ljubičić]]-Q2</f>
        <v>37.799999999999997</v>
      </c>
      <c r="S2" s="49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Row],[Category]],Twirling_Solo_Program289101112131415161718192022232425262728293031343536434445[J3 TOTAL],"&gt;"&amp;Twirling_Solo_Program289101112131415161718192022232425262728293031343536434445[[#This Row],[J3 TOTAL]])+1</f>
        <v>1</v>
      </c>
      <c r="T2" s="46"/>
      <c r="U2" s="47"/>
      <c r="V2" s="48">
        <f>Twirling_Solo_Program289101112131415161718192022232425262728293031343536434445[[#This Row],[Judge 4
Bernard Barač]]-U2</f>
        <v>0</v>
      </c>
      <c r="W2" s="49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Row],[Category]],Twirling_Solo_Program289101112131415161718192022232425262728293031343536434445[J4 TOTAL],"&gt;"&amp;Twirling_Solo_Program289101112131415161718192022232425262728293031343536434445[[#This Row],[J4 TOTAL]])+1</f>
        <v>1</v>
      </c>
      <c r="X2" s="62">
        <f>SUM(Twirling_Solo_Program289101112131415161718192022232425262728293031343536434445[[#This Row],[J1 TOTAL]]+Twirling_Solo_Program289101112131415161718192022232425262728293031343536434445[[#This Row],[J2 TOTAL]]+Twirling_Solo_Program289101112131415161718192022232425262728293031343536434445[[#This Row],[J3 TOTAL]]+Twirling_Solo_Program289101112131415161718192022232425262728293031343536434445[[#This Row],[J4 TOTAL]])</f>
        <v>77.899999999999991</v>
      </c>
      <c r="Y2" s="50"/>
      <c r="Z2" s="50"/>
      <c r="AA2" s="50">
        <f>Twirling_Solo_Program289101112131415161718192022232425262728293031343536434445[[#This Row],[Total]]</f>
        <v>77.899999999999991</v>
      </c>
      <c r="AB2" s="59">
        <f>AVERAGE(H2,L2,P2,T2)</f>
        <v>40.15</v>
      </c>
      <c r="AC2" s="51">
        <f>Twirling_Solo_Program289101112131415161718192022232425262728293031343536434445[[#This Row],[Final Total]]</f>
        <v>77.899999999999991</v>
      </c>
      <c r="AD2" s="60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Row],[Category]],Twirling_Solo_Program289101112131415161718192022232425262728293031343536434445[FINAL SCORE],"&gt;"&amp;Twirling_Solo_Program289101112131415161718192022232425262728293031343536434445[[#This Row],[FINAL SCORE]])+1</f>
        <v>1</v>
      </c>
      <c r="AE2" s="55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.6" x14ac:dyDescent="0.3">
      <c r="A3" s="61">
        <v>102</v>
      </c>
      <c r="B3" s="64">
        <v>2</v>
      </c>
      <c r="C3" s="44" t="s">
        <v>49</v>
      </c>
      <c r="D3" s="44" t="s">
        <v>33</v>
      </c>
      <c r="E3" s="44" t="s">
        <v>137</v>
      </c>
      <c r="F3" s="44" t="s">
        <v>104</v>
      </c>
      <c r="G3" s="44" t="s">
        <v>26</v>
      </c>
      <c r="H3" s="46">
        <v>36.9</v>
      </c>
      <c r="I3" s="47">
        <v>0</v>
      </c>
      <c r="J3" s="48">
        <f>Twirling_Solo_Program289101112131415161718192022232425262728293031343536434445[[#This Row],[Judge 1
Tamara Beljak]]-I3</f>
        <v>36.9</v>
      </c>
      <c r="K3" s="49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Row],[Category]],Twirling_Solo_Program289101112131415161718192022232425262728293031343536434445[J1 TOTAL],"&gt;"&amp;Twirling_Solo_Program289101112131415161718192022232425262728293031343536434445[[#This Row],[J1 TOTAL]])+1</f>
        <v>2</v>
      </c>
      <c r="L3" s="46"/>
      <c r="M3" s="47"/>
      <c r="N3" s="48">
        <f>Twirling_Solo_Program289101112131415161718192022232425262728293031343536434445[[#This Row],[Judge 2
Tihomir Bendelja]]-Twirling_Solo_Program289101112131415161718192022232425262728293031343536434445[[#This Row],[J2 (-)]]</f>
        <v>0</v>
      </c>
      <c r="O3" s="49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Row],[Category]],Twirling_Solo_Program289101112131415161718192022232425262728293031343536434445[J2 TOTAL],"&gt;"&amp;Twirling_Solo_Program289101112131415161718192022232425262728293031343536434445[[#This Row],[J2 TOTAL]])+1</f>
        <v>1</v>
      </c>
      <c r="P3" s="46">
        <v>35</v>
      </c>
      <c r="Q3" s="47">
        <v>0.2</v>
      </c>
      <c r="R3" s="48">
        <f>Twirling_Solo_Program289101112131415161718192022232425262728293031343536434445[[#This Row],[Judge 3
Lucija Ljubičić]]-Q3</f>
        <v>34.799999999999997</v>
      </c>
      <c r="S3" s="49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Row],[Category]],Twirling_Solo_Program289101112131415161718192022232425262728293031343536434445[J3 TOTAL],"&gt;"&amp;Twirling_Solo_Program289101112131415161718192022232425262728293031343536434445[[#This Row],[J3 TOTAL]])+1</f>
        <v>2</v>
      </c>
      <c r="T3" s="46"/>
      <c r="U3" s="47"/>
      <c r="V3" s="48">
        <f>Twirling_Solo_Program289101112131415161718192022232425262728293031343536434445[[#This Row],[Judge 4
Bernard Barač]]-U3</f>
        <v>0</v>
      </c>
      <c r="W3" s="49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Row],[Category]],Twirling_Solo_Program289101112131415161718192022232425262728293031343536434445[J4 TOTAL],"&gt;"&amp;Twirling_Solo_Program289101112131415161718192022232425262728293031343536434445[[#This Row],[J4 TOTAL]])+1</f>
        <v>1</v>
      </c>
      <c r="X3" s="50">
        <f>SUM(Twirling_Solo_Program289101112131415161718192022232425262728293031343536434445[[#This Row],[J1 TOTAL]]+Twirling_Solo_Program289101112131415161718192022232425262728293031343536434445[[#This Row],[J2 TOTAL]]+Twirling_Solo_Program289101112131415161718192022232425262728293031343536434445[[#This Row],[J3 TOTAL]]+Twirling_Solo_Program289101112131415161718192022232425262728293031343536434445[[#This Row],[J4 TOTAL]])</f>
        <v>71.699999999999989</v>
      </c>
      <c r="Y3" s="50"/>
      <c r="Z3" s="50"/>
      <c r="AA3" s="50">
        <f>Twirling_Solo_Program289101112131415161718192022232425262728293031343536434445[[#This Row],[Total]]</f>
        <v>71.699999999999989</v>
      </c>
      <c r="AB3" s="50">
        <f>AVERAGE(H3,L3,P3,T3)</f>
        <v>35.950000000000003</v>
      </c>
      <c r="AC3" s="51">
        <f>Twirling_Solo_Program289101112131415161718192022232425262728293031343536434445[[#This Row],[Final Total]]</f>
        <v>71.699999999999989</v>
      </c>
      <c r="AD3" s="52">
        <f>COUNTIFS(Twirling_Solo_Program289101112131415161718192022232425262728293031343536434445[Age
Division],Twirling_Solo_Program289101112131415161718192022232425262728293031343536434445[[#This Row],[Age
Division]],Twirling_Solo_Program289101112131415161718192022232425262728293031343536434445[Category],Twirling_Solo_Program289101112131415161718192022232425262728293031343536434445[[#This Row],[Category]],Twirling_Solo_Program289101112131415161718192022232425262728293031343536434445[FINAL SCORE],"&gt;"&amp;Twirling_Solo_Program289101112131415161718192022232425262728293031343536434445[[#This Row],[FINAL SCORE]])+1</f>
        <v>2</v>
      </c>
      <c r="AE3" s="55" t="s">
        <v>51</v>
      </c>
    </row>
  </sheetData>
  <sheetProtection algorithmName="SHA-512" hashValue="xx5oa6n3kAn4NUvnOMAtaP77YZWsOuLupcNO8ZA4n6VmRNgQx5bu/jy4m0ZlkNP9J7KW8t0Dz2iw79XDgrawUw==" saltValue="n5oZsnntX0h2/N1uhVwrC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X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21875" defaultRowHeight="14.4" x14ac:dyDescent="0.3"/>
  <cols>
    <col min="1" max="2" width="5.88671875" style="43" customWidth="1"/>
    <col min="3" max="3" width="11.109375" style="43" customWidth="1"/>
    <col min="4" max="4" width="9.88671875" style="53" customWidth="1"/>
    <col min="5" max="5" width="13.5546875" style="45" customWidth="1"/>
    <col min="6" max="6" width="41.5546875" style="45" customWidth="1"/>
    <col min="7" max="7" width="7.88671875" style="45" customWidth="1"/>
    <col min="8" max="9" width="9.21875" style="45" hidden="1" customWidth="1"/>
    <col min="10" max="11" width="9.21875" style="54" hidden="1" customWidth="1"/>
    <col min="12" max="15" width="9.21875" style="54" customWidth="1"/>
    <col min="16" max="19" width="9.21875" style="54" hidden="1" customWidth="1"/>
    <col min="20" max="22" width="9.21875" style="54" customWidth="1"/>
    <col min="23" max="23" width="9.21875" style="45" customWidth="1"/>
    <col min="24" max="24" width="9.21875" style="41" customWidth="1"/>
    <col min="25" max="26" width="9.77734375" style="45" hidden="1" customWidth="1"/>
    <col min="27" max="28" width="9.77734375" style="45" customWidth="1"/>
    <col min="29" max="29" width="7.5546875" style="45" customWidth="1"/>
    <col min="30" max="30" width="8.44140625" style="45" customWidth="1"/>
    <col min="31" max="16384" width="9.21875" style="45"/>
  </cols>
  <sheetData>
    <row r="1" spans="1:50" s="42" customFormat="1" ht="40.5" customHeight="1" x14ac:dyDescent="0.3">
      <c r="A1" s="32" t="s">
        <v>18</v>
      </c>
      <c r="B1" s="32" t="s">
        <v>0</v>
      </c>
      <c r="C1" s="33" t="s">
        <v>19</v>
      </c>
      <c r="D1" s="34" t="s">
        <v>20</v>
      </c>
      <c r="E1" s="35" t="s">
        <v>1</v>
      </c>
      <c r="F1" s="35" t="s">
        <v>2</v>
      </c>
      <c r="G1" s="35" t="s">
        <v>3</v>
      </c>
      <c r="H1" s="36" t="s">
        <v>4</v>
      </c>
      <c r="I1" s="36" t="s">
        <v>5</v>
      </c>
      <c r="J1" s="36" t="s">
        <v>147</v>
      </c>
      <c r="K1" s="36" t="s">
        <v>6</v>
      </c>
      <c r="L1" s="37" t="s">
        <v>7</v>
      </c>
      <c r="M1" s="37" t="s">
        <v>8</v>
      </c>
      <c r="N1" s="37" t="s">
        <v>144</v>
      </c>
      <c r="O1" s="37" t="s">
        <v>9</v>
      </c>
      <c r="P1" s="36" t="s">
        <v>21</v>
      </c>
      <c r="Q1" s="36" t="s">
        <v>10</v>
      </c>
      <c r="R1" s="36" t="s">
        <v>145</v>
      </c>
      <c r="S1" s="36" t="s">
        <v>11</v>
      </c>
      <c r="T1" s="37" t="s">
        <v>22</v>
      </c>
      <c r="U1" s="37" t="s">
        <v>12</v>
      </c>
      <c r="V1" s="37" t="s">
        <v>146</v>
      </c>
      <c r="W1" s="37" t="s">
        <v>13</v>
      </c>
      <c r="X1" s="38" t="s">
        <v>15</v>
      </c>
      <c r="Y1" s="38" t="s">
        <v>141</v>
      </c>
      <c r="Z1" s="38" t="s">
        <v>142</v>
      </c>
      <c r="AA1" s="38" t="s">
        <v>143</v>
      </c>
      <c r="AB1" s="38" t="s">
        <v>14</v>
      </c>
      <c r="AC1" s="39" t="s">
        <v>16</v>
      </c>
      <c r="AD1" s="40" t="s">
        <v>17</v>
      </c>
      <c r="AE1" s="39" t="s">
        <v>148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.6" x14ac:dyDescent="0.3">
      <c r="A2" s="61">
        <v>58</v>
      </c>
      <c r="B2" s="64">
        <v>1</v>
      </c>
      <c r="C2" s="44" t="s">
        <v>91</v>
      </c>
      <c r="D2" s="44" t="s">
        <v>36</v>
      </c>
      <c r="E2" s="44" t="s">
        <v>95</v>
      </c>
      <c r="F2" s="44" t="s">
        <v>44</v>
      </c>
      <c r="G2" s="44" t="s">
        <v>30</v>
      </c>
      <c r="H2" s="46"/>
      <c r="I2" s="47"/>
      <c r="J2" s="48">
        <f>Twirling_Solo_Program289101112131415161718192022232425262728[[#This Row],[Judge 1
Tamara Beljak]]-I2</f>
        <v>0</v>
      </c>
      <c r="K2" s="49">
        <f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Row],[Category]],Twirling_Solo_Program289101112131415161718192022232425262728[J1 TOTAL],"&gt;"&amp;Twirling_Solo_Program289101112131415161718192022232425262728[[#This Row],[J1 TOTAL]])+1</f>
        <v>1</v>
      </c>
      <c r="L2" s="46">
        <v>11.7</v>
      </c>
      <c r="M2" s="47">
        <v>0.5</v>
      </c>
      <c r="N2" s="48">
        <f>Twirling_Solo_Program289101112131415161718192022232425262728[[#This Row],[Judge 2
Tihomir Bendelja]]-Twirling_Solo_Program289101112131415161718192022232425262728[[#This Row],[J2 (-)]]</f>
        <v>11.2</v>
      </c>
      <c r="O2" s="49">
        <f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Row],[Category]],Twirling_Solo_Program289101112131415161718192022232425262728[J2 TOTAL],"&gt;"&amp;Twirling_Solo_Program289101112131415161718192022232425262728[[#This Row],[J2 TOTAL]])+1</f>
        <v>1</v>
      </c>
      <c r="P2" s="46"/>
      <c r="Q2" s="47"/>
      <c r="R2" s="48">
        <f>Twirling_Solo_Program289101112131415161718192022232425262728[[#This Row],[Judge 3
Lucija Ljubičić]]-Q2</f>
        <v>0</v>
      </c>
      <c r="S2" s="49">
        <f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Row],[Category]],Twirling_Solo_Program289101112131415161718192022232425262728[J3 TOTAL],"&gt;"&amp;Twirling_Solo_Program289101112131415161718192022232425262728[[#This Row],[J3 TOTAL]])+1</f>
        <v>1</v>
      </c>
      <c r="T2" s="46">
        <v>10.7</v>
      </c>
      <c r="U2" s="47">
        <v>0.5</v>
      </c>
      <c r="V2" s="48">
        <f>Twirling_Solo_Program289101112131415161718192022232425262728[[#This Row],[Judge 4
Bernard Barač]]-U2</f>
        <v>10.199999999999999</v>
      </c>
      <c r="W2" s="49">
        <f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Row],[Category]],Twirling_Solo_Program289101112131415161718192022232425262728[J4 TOTAL],"&gt;"&amp;Twirling_Solo_Program289101112131415161718192022232425262728[[#This Row],[J4 TOTAL]])+1</f>
        <v>1</v>
      </c>
      <c r="X2" s="50">
        <f>SUM(Twirling_Solo_Program289101112131415161718192022232425262728[[#This Row],[J1 TOTAL]]+Twirling_Solo_Program289101112131415161718192022232425262728[[#This Row],[J2 TOTAL]]+Twirling_Solo_Program289101112131415161718192022232425262728[[#This Row],[J3 TOTAL]]+Twirling_Solo_Program289101112131415161718192022232425262728[[#This Row],[J4 TOTAL]])</f>
        <v>21.4</v>
      </c>
      <c r="Y2" s="50"/>
      <c r="Z2" s="50"/>
      <c r="AA2" s="50">
        <f>SUM(Twirling_Solo_Program289101112131415161718192022232425262728[[#This Row],[Total]]-Twirling_Solo_Program289101112131415161718192022232425262728[[#This Row],[Low]]-Twirling_Solo_Program289101112131415161718192022232425262728[[#This Row],[High]])</f>
        <v>21.4</v>
      </c>
      <c r="AB2" s="50">
        <f>AVERAGE(H2,L2,P2,T2)</f>
        <v>11.2</v>
      </c>
      <c r="AC2" s="51">
        <f>Twirling_Solo_Program289101112131415161718192022232425262728[[#This Row],[Final Total]]</f>
        <v>21.4</v>
      </c>
      <c r="AD2" s="52">
        <f>COUNTIFS(Twirling_Solo_Program289101112131415161718192022232425262728[Age
Division],Twirling_Solo_Program289101112131415161718192022232425262728[[#This Row],[Age
Division]],Twirling_Solo_Program289101112131415161718192022232425262728[Category],Twirling_Solo_Program289101112131415161718192022232425262728[[#This Row],[Category]],Twirling_Solo_Program289101112131415161718192022232425262728[FINAL SCORE],"&gt;"&amp;Twirling_Solo_Program289101112131415161718192022232425262728[[#This Row],[FINAL SCORE]])+1</f>
        <v>1</v>
      </c>
      <c r="AE2" s="55" t="s">
        <v>51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</sheetData>
  <sheetProtection algorithmName="SHA-512" hashValue="uRtXW85yuqq0XJ1CKWfKBSIEZZHS3YnFzOOfLAel4l7tFQGt4Hbe8GKTcSu/hawHgR/S4ZWfCXf075c/pUvIGg==" saltValue="cx9x8WDy5HotBQqUDhqtHg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44</vt:i4>
      </vt:variant>
    </vt:vector>
  </HeadingPairs>
  <TitlesOfParts>
    <vt:vector size="88" baseType="lpstr">
      <vt:lpstr>MAJORETTE SOLO CHILDREN</vt:lpstr>
      <vt:lpstr>MAJORETTE SOLO CADET</vt:lpstr>
      <vt:lpstr>MAJORETTE SOLO JUNIOR</vt:lpstr>
      <vt:lpstr>MAJORETTE SOLO SENIOR</vt:lpstr>
      <vt:lpstr>ACCESSORIES SOLO CHILDREN</vt:lpstr>
      <vt:lpstr>ACCESSORIES SOLO-CADET</vt:lpstr>
      <vt:lpstr>ACCESSORIES SOLO JUNIOR</vt:lpstr>
      <vt:lpstr>ACCESSORIES SOLO SENIOR</vt:lpstr>
      <vt:lpstr>POMPON SOLO CHILDREN</vt:lpstr>
      <vt:lpstr>POMPON SOLO JUNIOR</vt:lpstr>
      <vt:lpstr>MAJORETTE DUO-TRIO CHILDREN</vt:lpstr>
      <vt:lpstr>MAJORETTE DUO-TRIO CADET</vt:lpstr>
      <vt:lpstr>MAJORETTE DUO-TRIO JUNIOR</vt:lpstr>
      <vt:lpstr>MAJORETTE DUO-TRIO SENIOR</vt:lpstr>
      <vt:lpstr>ACCESSORIES DUO CHILDREN</vt:lpstr>
      <vt:lpstr>ACCESSORIES DUO CADET</vt:lpstr>
      <vt:lpstr>ACCESSORIES DUO JUNIOR</vt:lpstr>
      <vt:lpstr>ACCESSORIES DUO SENIOR</vt:lpstr>
      <vt:lpstr>POMPON DUO-TRIO CHILDREN</vt:lpstr>
      <vt:lpstr>POMPON DUO-TRIO JUNIOR</vt:lpstr>
      <vt:lpstr>POMPON DUO-TRIO SENIOR</vt:lpstr>
      <vt:lpstr>TRADITIONAL MAJORETTE GROUP-MIN</vt:lpstr>
      <vt:lpstr>TRADITIONAL MAJORETTE GROUP-CH</vt:lpstr>
      <vt:lpstr>TRADITIONAL MAJORETTE GROUP-CAD</vt:lpstr>
      <vt:lpstr>TRADITIONAL MAJORETTE GROUP-JUN</vt:lpstr>
      <vt:lpstr>MODERN MAJORETTE TEAM-CADET</vt:lpstr>
      <vt:lpstr>MODERN MAJORETTE TEAM-JUNIOR</vt:lpstr>
      <vt:lpstr>MODERN MAJORETTE TEAM-SENIOR</vt:lpstr>
      <vt:lpstr>MODERN MAJORETTE GROUP-CADET</vt:lpstr>
      <vt:lpstr>MODERN MAJORETTE GROUP-JUNIOR</vt:lpstr>
      <vt:lpstr>MODERN MAJORETTE GROUP-SENIOR</vt:lpstr>
      <vt:lpstr>POMPON TEAM-CADET</vt:lpstr>
      <vt:lpstr>POMPON TEAM-JUNIOR</vt:lpstr>
      <vt:lpstr>POMPON GROUP-CHILDREN</vt:lpstr>
      <vt:lpstr>POMPON GROUP-CADET</vt:lpstr>
      <vt:lpstr>POMPON GROUP JUNIOR</vt:lpstr>
      <vt:lpstr>TEAM MIX JUNIOR</vt:lpstr>
      <vt:lpstr>SHOW DANCE-CHILDREN</vt:lpstr>
      <vt:lpstr>SHOW DANCE CADET</vt:lpstr>
      <vt:lpstr>SHOW DANCE JUNIOR</vt:lpstr>
      <vt:lpstr>SHOW DANCE SENIOR</vt:lpstr>
      <vt:lpstr>BATONFLAG-CADET</vt:lpstr>
      <vt:lpstr>BATONFLAG-JUNIOR</vt:lpstr>
      <vt:lpstr>FLAGS</vt:lpstr>
      <vt:lpstr>'ACCESSORIES DUO CADET'!Extract</vt:lpstr>
      <vt:lpstr>'ACCESSORIES DUO CHILDREN'!Extract</vt:lpstr>
      <vt:lpstr>'ACCESSORIES DUO JUNIOR'!Extract</vt:lpstr>
      <vt:lpstr>'ACCESSORIES DUO SENIOR'!Extract</vt:lpstr>
      <vt:lpstr>'ACCESSORIES SOLO CHILDREN'!Extract</vt:lpstr>
      <vt:lpstr>'ACCESSORIES SOLO JUNIOR'!Extract</vt:lpstr>
      <vt:lpstr>'ACCESSORIES SOLO SENIOR'!Extract</vt:lpstr>
      <vt:lpstr>'ACCESSORIES SOLO-CADET'!Extract</vt:lpstr>
      <vt:lpstr>'BATONFLAG-CADET'!Extract</vt:lpstr>
      <vt:lpstr>'BATONFLAG-JUNIOR'!Extract</vt:lpstr>
      <vt:lpstr>FLAGS!Extract</vt:lpstr>
      <vt:lpstr>'MAJORETTE DUO-TRIO CADET'!Extract</vt:lpstr>
      <vt:lpstr>'MAJORETTE DUO-TRIO CHILDREN'!Extract</vt:lpstr>
      <vt:lpstr>'MAJORETTE DUO-TRIO JUNIOR'!Extract</vt:lpstr>
      <vt:lpstr>'MAJORETTE DUO-TRIO SENIOR'!Extract</vt:lpstr>
      <vt:lpstr>'MAJORETTE SOLO CADET'!Extract</vt:lpstr>
      <vt:lpstr>'MAJORETTE SOLO CHILDREN'!Extract</vt:lpstr>
      <vt:lpstr>'MAJORETTE SOLO JUNIOR'!Extract</vt:lpstr>
      <vt:lpstr>'MAJORETTE SOLO SENIOR'!Extract</vt:lpstr>
      <vt:lpstr>'MODERN MAJORETTE GROUP-CADET'!Extract</vt:lpstr>
      <vt:lpstr>'MODERN MAJORETTE GROUP-JUNIOR'!Extract</vt:lpstr>
      <vt:lpstr>'MODERN MAJORETTE GROUP-SENIOR'!Extract</vt:lpstr>
      <vt:lpstr>'MODERN MAJORETTE TEAM-CADET'!Extract</vt:lpstr>
      <vt:lpstr>'MODERN MAJORETTE TEAM-JUNIOR'!Extract</vt:lpstr>
      <vt:lpstr>'MODERN MAJORETTE TEAM-SENIOR'!Extract</vt:lpstr>
      <vt:lpstr>'POMPON DUO-TRIO CHILDREN'!Extract</vt:lpstr>
      <vt:lpstr>'POMPON DUO-TRIO JUNIOR'!Extract</vt:lpstr>
      <vt:lpstr>'POMPON DUO-TRIO SENIOR'!Extract</vt:lpstr>
      <vt:lpstr>'POMPON GROUP JUNIOR'!Extract</vt:lpstr>
      <vt:lpstr>'POMPON GROUP-CADET'!Extract</vt:lpstr>
      <vt:lpstr>'POMPON GROUP-CHILDREN'!Extract</vt:lpstr>
      <vt:lpstr>'POMPON SOLO CHILDREN'!Extract</vt:lpstr>
      <vt:lpstr>'POMPON SOLO JUNIOR'!Extract</vt:lpstr>
      <vt:lpstr>'POMPON TEAM-CADET'!Extract</vt:lpstr>
      <vt:lpstr>'POMPON TEAM-JUNIOR'!Extract</vt:lpstr>
      <vt:lpstr>'SHOW DANCE CADET'!Extract</vt:lpstr>
      <vt:lpstr>'SHOW DANCE JUNIOR'!Extract</vt:lpstr>
      <vt:lpstr>'SHOW DANCE SENIOR'!Extract</vt:lpstr>
      <vt:lpstr>'SHOW DANCE-CHILDREN'!Extract</vt:lpstr>
      <vt:lpstr>'TEAM MIX JUNIOR'!Extract</vt:lpstr>
      <vt:lpstr>'TRADITIONAL MAJORETTE GROUP-CAD'!Extract</vt:lpstr>
      <vt:lpstr>'TRADITIONAL MAJORETTE GROUP-CH'!Extract</vt:lpstr>
      <vt:lpstr>'TRADITIONAL MAJORETTE GROUP-JUN'!Extract</vt:lpstr>
      <vt:lpstr>'TRADITIONAL MAJORETTE GROUP-MIN'!Extract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SAMOBORfest MAJORETTE PROGRAM - RESULTS</dc:title>
  <dc:subject/>
  <dc:creator>MKS STUDIO</dc:creator>
  <cp:keywords>SAMOBORfest</cp:keywords>
  <dc:description/>
  <cp:lastModifiedBy>User</cp:lastModifiedBy>
  <cp:revision/>
  <cp:lastPrinted>2022-06-04T15:55:48Z</cp:lastPrinted>
  <dcterms:created xsi:type="dcterms:W3CDTF">2019-01-27T20:49:00Z</dcterms:created>
  <dcterms:modified xsi:type="dcterms:W3CDTF">2022-06-12T07:29:38Z</dcterms:modified>
  <cp:category/>
  <cp:contentStatus/>
</cp:coreProperties>
</file>